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04cd027350c075a/Documents/Desktop/outputs -google/"/>
    </mc:Choice>
  </mc:AlternateContent>
  <xr:revisionPtr revIDLastSave="36" documentId="14_{7DB0A046-160F-40AC-AB35-C0C5B6122827}" xr6:coauthVersionLast="47" xr6:coauthVersionMax="47" xr10:uidLastSave="{E0478832-4712-4240-8C05-B0F057284A68}"/>
  <bookViews>
    <workbookView xWindow="3750" yWindow="0" windowWidth="18770" windowHeight="10320" tabRatio="500" firstSheet="3" activeTab="5" xr2:uid="{00000000-000D-0000-FFFF-FFFF00000000}"/>
  </bookViews>
  <sheets>
    <sheet name="表紙" sheetId="1" r:id="rId1"/>
    <sheet name="①基本情報" sheetId="2" r:id="rId2"/>
    <sheet name="②相談時家計表" sheetId="3" r:id="rId3"/>
    <sheet name="③ライフイベント表" sheetId="4" r:id="rId4"/>
    <sheet name="④キャッシュフロー表" sheetId="5" r:id="rId5"/>
    <sheet name="⑤資産推移グラフ" sheetId="6" r:id="rId6"/>
  </sheets>
  <definedNames>
    <definedName name="_xlnm.Print_Titles" localSheetId="4">④キャッシュフロー表!$1:$7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5" l="1"/>
  <c r="B67" i="5"/>
  <c r="B66" i="5"/>
  <c r="B65" i="5"/>
  <c r="B64" i="5"/>
  <c r="B63" i="5"/>
  <c r="B62" i="5"/>
  <c r="B61" i="5"/>
  <c r="B60" i="5"/>
  <c r="B59" i="5"/>
  <c r="C58" i="5"/>
  <c r="E58" i="5" s="1"/>
  <c r="B58" i="5"/>
  <c r="B57" i="5"/>
  <c r="B56" i="5"/>
  <c r="B55" i="5"/>
  <c r="B54" i="5"/>
  <c r="B53" i="5"/>
  <c r="B52" i="5"/>
  <c r="C51" i="5"/>
  <c r="B51" i="5"/>
  <c r="C50" i="5"/>
  <c r="B50" i="5"/>
  <c r="B49" i="5"/>
  <c r="B48" i="5"/>
  <c r="B47" i="5"/>
  <c r="B46" i="5"/>
  <c r="B45" i="5"/>
  <c r="B44" i="5"/>
  <c r="C43" i="5"/>
  <c r="B43" i="5"/>
  <c r="C42" i="5"/>
  <c r="E42" i="5" s="1"/>
  <c r="B42" i="5"/>
  <c r="B41" i="5"/>
  <c r="B40" i="5"/>
  <c r="B39" i="5"/>
  <c r="B38" i="5"/>
  <c r="B37" i="5"/>
  <c r="B36" i="5"/>
  <c r="C35" i="5"/>
  <c r="B35" i="5"/>
  <c r="C34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E23" i="4"/>
  <c r="E22" i="4"/>
  <c r="E21" i="4"/>
  <c r="E20" i="4"/>
  <c r="E19" i="4"/>
  <c r="E18" i="4"/>
  <c r="E15" i="4"/>
  <c r="E14" i="4"/>
  <c r="E13" i="4"/>
  <c r="E12" i="4"/>
  <c r="E11" i="4"/>
  <c r="E10" i="4"/>
  <c r="E9" i="4"/>
  <c r="E6" i="4"/>
  <c r="E5" i="4"/>
  <c r="E46" i="3"/>
  <c r="E45" i="3"/>
  <c r="E44" i="3"/>
  <c r="E40" i="3"/>
  <c r="E39" i="3"/>
  <c r="E38" i="3"/>
  <c r="E37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9" i="3"/>
  <c r="E8" i="3"/>
  <c r="E7" i="3"/>
  <c r="E6" i="3"/>
  <c r="E5" i="3"/>
  <c r="E10" i="2"/>
  <c r="N4" i="5" s="1"/>
  <c r="E9" i="2"/>
  <c r="E8" i="2"/>
  <c r="J4" i="5" s="1"/>
  <c r="E7" i="2"/>
  <c r="H4" i="5" s="1"/>
  <c r="E6" i="2"/>
  <c r="F4" i="5" s="1"/>
  <c r="E5" i="2"/>
  <c r="D4" i="5" s="1"/>
  <c r="E4" i="2"/>
  <c r="E10" i="3" l="1"/>
  <c r="C5" i="6" s="1"/>
  <c r="D34" i="5"/>
  <c r="P50" i="5"/>
  <c r="O50" i="5"/>
  <c r="N50" i="5"/>
  <c r="M50" i="5"/>
  <c r="L50" i="5"/>
  <c r="K50" i="5"/>
  <c r="I50" i="5"/>
  <c r="G50" i="5"/>
  <c r="P34" i="5"/>
  <c r="O34" i="5"/>
  <c r="N34" i="5"/>
  <c r="M34" i="5"/>
  <c r="L34" i="5"/>
  <c r="K34" i="5"/>
  <c r="I34" i="5"/>
  <c r="G34" i="5"/>
  <c r="F34" i="5"/>
  <c r="E34" i="5"/>
  <c r="E50" i="5"/>
  <c r="P35" i="5"/>
  <c r="O35" i="5"/>
  <c r="N35" i="5"/>
  <c r="M35" i="5"/>
  <c r="L35" i="5"/>
  <c r="K35" i="5"/>
  <c r="I35" i="5"/>
  <c r="G35" i="5"/>
  <c r="F35" i="5"/>
  <c r="E35" i="5"/>
  <c r="F50" i="5"/>
  <c r="P58" i="5"/>
  <c r="O58" i="5"/>
  <c r="N58" i="5"/>
  <c r="M58" i="5"/>
  <c r="L58" i="5"/>
  <c r="K58" i="5"/>
  <c r="I58" i="5"/>
  <c r="G58" i="5"/>
  <c r="P42" i="5"/>
  <c r="O42" i="5"/>
  <c r="N42" i="5"/>
  <c r="M42" i="5"/>
  <c r="L42" i="5"/>
  <c r="K42" i="5"/>
  <c r="I42" i="5"/>
  <c r="G42" i="5"/>
  <c r="P43" i="5"/>
  <c r="O43" i="5"/>
  <c r="N43" i="5"/>
  <c r="M43" i="5"/>
  <c r="L43" i="5"/>
  <c r="K43" i="5"/>
  <c r="I43" i="5"/>
  <c r="G43" i="5"/>
  <c r="F43" i="5"/>
  <c r="E43" i="5"/>
  <c r="D43" i="5"/>
  <c r="H43" i="5" s="1"/>
  <c r="F58" i="5"/>
  <c r="C66" i="5"/>
  <c r="F42" i="5"/>
  <c r="P51" i="5"/>
  <c r="O51" i="5"/>
  <c r="N51" i="5"/>
  <c r="M51" i="5"/>
  <c r="L51" i="5"/>
  <c r="K51" i="5"/>
  <c r="I51" i="5"/>
  <c r="G51" i="5"/>
  <c r="F51" i="5"/>
  <c r="E51" i="5"/>
  <c r="D51" i="5"/>
  <c r="H51" i="5" s="1"/>
  <c r="E29" i="3"/>
  <c r="C6" i="6" s="1"/>
  <c r="D16" i="5"/>
  <c r="C59" i="5"/>
  <c r="D59" i="5" s="1"/>
  <c r="H59" i="5" s="1"/>
  <c r="C67" i="5"/>
  <c r="C65" i="5"/>
  <c r="C57" i="5"/>
  <c r="C49" i="5"/>
  <c r="C41" i="5"/>
  <c r="C64" i="5"/>
  <c r="C56" i="5"/>
  <c r="C48" i="5"/>
  <c r="C40" i="5"/>
  <c r="C63" i="5"/>
  <c r="D63" i="5" s="1"/>
  <c r="H63" i="5" s="1"/>
  <c r="C55" i="5"/>
  <c r="D55" i="5" s="1"/>
  <c r="H55" i="5" s="1"/>
  <c r="C47" i="5"/>
  <c r="D47" i="5" s="1"/>
  <c r="H47" i="5" s="1"/>
  <c r="C39" i="5"/>
  <c r="D54" i="5"/>
  <c r="H54" i="5" s="1"/>
  <c r="D46" i="5"/>
  <c r="H46" i="5" s="1"/>
  <c r="D38" i="5"/>
  <c r="H38" i="5" s="1"/>
  <c r="B4" i="5"/>
  <c r="C62" i="5"/>
  <c r="D62" i="5" s="1"/>
  <c r="H62" i="5" s="1"/>
  <c r="C54" i="5"/>
  <c r="C46" i="5"/>
  <c r="C38" i="5"/>
  <c r="C61" i="5"/>
  <c r="C53" i="5"/>
  <c r="C45" i="5"/>
  <c r="C37" i="5"/>
  <c r="C68" i="5"/>
  <c r="C60" i="5"/>
  <c r="C52" i="5"/>
  <c r="C44" i="5"/>
  <c r="C36" i="5"/>
  <c r="D35" i="5"/>
  <c r="D58" i="5"/>
  <c r="H58" i="5" s="1"/>
  <c r="D50" i="5"/>
  <c r="H50" i="5" s="1"/>
  <c r="D42" i="5"/>
  <c r="H42" i="5" s="1"/>
  <c r="C33" i="5"/>
  <c r="C32" i="5"/>
  <c r="D32" i="5" s="1"/>
  <c r="C31" i="5"/>
  <c r="C30" i="5"/>
  <c r="C29" i="5"/>
  <c r="C28" i="5"/>
  <c r="C27" i="5"/>
  <c r="C26" i="5"/>
  <c r="C25" i="5"/>
  <c r="C24" i="5"/>
  <c r="C23" i="5"/>
  <c r="C22" i="5"/>
  <c r="D22" i="5" s="1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D12" i="5"/>
  <c r="D28" i="5"/>
  <c r="E47" i="3"/>
  <c r="C9" i="6" s="1"/>
  <c r="L4" i="5"/>
  <c r="J35" i="5" l="1"/>
  <c r="J58" i="5"/>
  <c r="J42" i="5"/>
  <c r="J50" i="5"/>
  <c r="J34" i="5"/>
  <c r="Q43" i="5"/>
  <c r="Q34" i="5"/>
  <c r="Q51" i="5"/>
  <c r="Q42" i="5"/>
  <c r="R42" i="5" s="1"/>
  <c r="Q58" i="5"/>
  <c r="R58" i="5" s="1"/>
  <c r="P23" i="5"/>
  <c r="O23" i="5"/>
  <c r="N23" i="5"/>
  <c r="M23" i="5"/>
  <c r="L23" i="5"/>
  <c r="K23" i="5"/>
  <c r="Q23" i="5" s="1"/>
  <c r="I23" i="5"/>
  <c r="F23" i="5"/>
  <c r="E23" i="5"/>
  <c r="J23" i="5" s="1"/>
  <c r="L45" i="5"/>
  <c r="K45" i="5"/>
  <c r="I45" i="5"/>
  <c r="G45" i="5"/>
  <c r="F45" i="5"/>
  <c r="E45" i="5"/>
  <c r="N45" i="5"/>
  <c r="M45" i="5"/>
  <c r="O45" i="5"/>
  <c r="P45" i="5"/>
  <c r="P41" i="5"/>
  <c r="O41" i="5"/>
  <c r="N41" i="5"/>
  <c r="M41" i="5"/>
  <c r="L41" i="5"/>
  <c r="K41" i="5"/>
  <c r="I41" i="5"/>
  <c r="F41" i="5"/>
  <c r="G41" i="5"/>
  <c r="E41" i="5"/>
  <c r="P67" i="5"/>
  <c r="O67" i="5"/>
  <c r="N67" i="5"/>
  <c r="M67" i="5"/>
  <c r="L67" i="5"/>
  <c r="K67" i="5"/>
  <c r="I67" i="5"/>
  <c r="G67" i="5"/>
  <c r="F67" i="5"/>
  <c r="E67" i="5"/>
  <c r="N36" i="5"/>
  <c r="M36" i="5"/>
  <c r="L36" i="5"/>
  <c r="K36" i="5"/>
  <c r="I36" i="5"/>
  <c r="G36" i="5"/>
  <c r="F36" i="5"/>
  <c r="E36" i="5"/>
  <c r="P36" i="5"/>
  <c r="O36" i="5"/>
  <c r="P57" i="5"/>
  <c r="O57" i="5"/>
  <c r="N57" i="5"/>
  <c r="M57" i="5"/>
  <c r="L57" i="5"/>
  <c r="K57" i="5"/>
  <c r="I57" i="5"/>
  <c r="F57" i="5"/>
  <c r="E57" i="5"/>
  <c r="G57" i="5"/>
  <c r="P10" i="5"/>
  <c r="O10" i="5"/>
  <c r="N10" i="5"/>
  <c r="M10" i="5"/>
  <c r="L10" i="5"/>
  <c r="K10" i="5"/>
  <c r="I10" i="5"/>
  <c r="F10" i="5"/>
  <c r="D10" i="5"/>
  <c r="E10" i="5"/>
  <c r="P26" i="5"/>
  <c r="O26" i="5"/>
  <c r="N26" i="5"/>
  <c r="M26" i="5"/>
  <c r="L26" i="5"/>
  <c r="K26" i="5"/>
  <c r="I26" i="5"/>
  <c r="F26" i="5"/>
  <c r="E26" i="5"/>
  <c r="D26" i="5"/>
  <c r="N44" i="5"/>
  <c r="M44" i="5"/>
  <c r="L44" i="5"/>
  <c r="K44" i="5"/>
  <c r="I44" i="5"/>
  <c r="G44" i="5"/>
  <c r="F44" i="5"/>
  <c r="E44" i="5"/>
  <c r="P44" i="5"/>
  <c r="O44" i="5"/>
  <c r="P65" i="5"/>
  <c r="O65" i="5"/>
  <c r="N65" i="5"/>
  <c r="M65" i="5"/>
  <c r="L65" i="5"/>
  <c r="K65" i="5"/>
  <c r="I65" i="5"/>
  <c r="F65" i="5"/>
  <c r="G65" i="5"/>
  <c r="E65" i="5"/>
  <c r="F40" i="5"/>
  <c r="E40" i="5"/>
  <c r="P40" i="5"/>
  <c r="O40" i="5"/>
  <c r="N40" i="5"/>
  <c r="M40" i="5"/>
  <c r="L40" i="5"/>
  <c r="K40" i="5"/>
  <c r="I40" i="5"/>
  <c r="G40" i="5"/>
  <c r="P59" i="5"/>
  <c r="O59" i="5"/>
  <c r="N59" i="5"/>
  <c r="M59" i="5"/>
  <c r="L59" i="5"/>
  <c r="K59" i="5"/>
  <c r="I59" i="5"/>
  <c r="G59" i="5"/>
  <c r="F59" i="5"/>
  <c r="E59" i="5"/>
  <c r="L37" i="5"/>
  <c r="K37" i="5"/>
  <c r="I37" i="5"/>
  <c r="G37" i="5"/>
  <c r="F37" i="5"/>
  <c r="E37" i="5"/>
  <c r="N37" i="5"/>
  <c r="P37" i="5"/>
  <c r="O37" i="5"/>
  <c r="M37" i="5"/>
  <c r="P9" i="5"/>
  <c r="O9" i="5"/>
  <c r="N9" i="5"/>
  <c r="M9" i="5"/>
  <c r="L9" i="5"/>
  <c r="K9" i="5"/>
  <c r="I9" i="5"/>
  <c r="F9" i="5"/>
  <c r="E9" i="5"/>
  <c r="J9" i="5" s="1"/>
  <c r="D9" i="5"/>
  <c r="N52" i="5"/>
  <c r="M52" i="5"/>
  <c r="L52" i="5"/>
  <c r="K52" i="5"/>
  <c r="I52" i="5"/>
  <c r="G52" i="5"/>
  <c r="F52" i="5"/>
  <c r="E52" i="5"/>
  <c r="P52" i="5"/>
  <c r="O52" i="5"/>
  <c r="P12" i="5"/>
  <c r="O12" i="5"/>
  <c r="N12" i="5"/>
  <c r="M12" i="5"/>
  <c r="L12" i="5"/>
  <c r="K12" i="5"/>
  <c r="I12" i="5"/>
  <c r="F12" i="5"/>
  <c r="E12" i="5"/>
  <c r="P28" i="5"/>
  <c r="O28" i="5"/>
  <c r="N28" i="5"/>
  <c r="M28" i="5"/>
  <c r="L28" i="5"/>
  <c r="K28" i="5"/>
  <c r="I28" i="5"/>
  <c r="F28" i="5"/>
  <c r="E28" i="5"/>
  <c r="N60" i="5"/>
  <c r="M60" i="5"/>
  <c r="L60" i="5"/>
  <c r="K60" i="5"/>
  <c r="I60" i="5"/>
  <c r="G60" i="5"/>
  <c r="F60" i="5"/>
  <c r="E60" i="5"/>
  <c r="P60" i="5"/>
  <c r="O60" i="5"/>
  <c r="D37" i="5"/>
  <c r="H37" i="5" s="1"/>
  <c r="F48" i="5"/>
  <c r="E48" i="5"/>
  <c r="P48" i="5"/>
  <c r="O48" i="5"/>
  <c r="N48" i="5"/>
  <c r="M48" i="5"/>
  <c r="L48" i="5"/>
  <c r="K48" i="5"/>
  <c r="I48" i="5"/>
  <c r="G48" i="5"/>
  <c r="P29" i="5"/>
  <c r="O29" i="5"/>
  <c r="N29" i="5"/>
  <c r="M29" i="5"/>
  <c r="L29" i="5"/>
  <c r="K29" i="5"/>
  <c r="I29" i="5"/>
  <c r="F29" i="5"/>
  <c r="D29" i="5"/>
  <c r="E29" i="5"/>
  <c r="J29" i="5" s="1"/>
  <c r="N68" i="5"/>
  <c r="M68" i="5"/>
  <c r="L68" i="5"/>
  <c r="K68" i="5"/>
  <c r="I68" i="5"/>
  <c r="G68" i="5"/>
  <c r="F68" i="5"/>
  <c r="E68" i="5"/>
  <c r="P68" i="5"/>
  <c r="O68" i="5"/>
  <c r="D45" i="5"/>
  <c r="H45" i="5" s="1"/>
  <c r="F56" i="5"/>
  <c r="E56" i="5"/>
  <c r="P56" i="5"/>
  <c r="O56" i="5"/>
  <c r="N56" i="5"/>
  <c r="M56" i="5"/>
  <c r="L56" i="5"/>
  <c r="K56" i="5"/>
  <c r="I56" i="5"/>
  <c r="G56" i="5"/>
  <c r="D41" i="5"/>
  <c r="H41" i="5" s="1"/>
  <c r="P22" i="5"/>
  <c r="O22" i="5"/>
  <c r="N22" i="5"/>
  <c r="M22" i="5"/>
  <c r="L22" i="5"/>
  <c r="K22" i="5"/>
  <c r="Q22" i="5" s="1"/>
  <c r="I22" i="5"/>
  <c r="F22" i="5"/>
  <c r="E22" i="5"/>
  <c r="P66" i="5"/>
  <c r="O66" i="5"/>
  <c r="N66" i="5"/>
  <c r="M66" i="5"/>
  <c r="L66" i="5"/>
  <c r="K66" i="5"/>
  <c r="I66" i="5"/>
  <c r="G66" i="5"/>
  <c r="F66" i="5"/>
  <c r="E66" i="5"/>
  <c r="L53" i="5"/>
  <c r="K53" i="5"/>
  <c r="I53" i="5"/>
  <c r="G53" i="5"/>
  <c r="F53" i="5"/>
  <c r="E53" i="5"/>
  <c r="N53" i="5"/>
  <c r="M53" i="5"/>
  <c r="P53" i="5"/>
  <c r="O53" i="5"/>
  <c r="L61" i="5"/>
  <c r="K61" i="5"/>
  <c r="I61" i="5"/>
  <c r="G61" i="5"/>
  <c r="F61" i="5"/>
  <c r="E61" i="5"/>
  <c r="N61" i="5"/>
  <c r="P61" i="5"/>
  <c r="O61" i="5"/>
  <c r="M61" i="5"/>
  <c r="P11" i="5"/>
  <c r="O11" i="5"/>
  <c r="N11" i="5"/>
  <c r="M11" i="5"/>
  <c r="L11" i="5"/>
  <c r="K11" i="5"/>
  <c r="I11" i="5"/>
  <c r="F11" i="5"/>
  <c r="D11" i="5"/>
  <c r="E11" i="5"/>
  <c r="D61" i="5"/>
  <c r="H61" i="5" s="1"/>
  <c r="G39" i="5"/>
  <c r="F39" i="5"/>
  <c r="E39" i="5"/>
  <c r="P39" i="5"/>
  <c r="O39" i="5"/>
  <c r="N39" i="5"/>
  <c r="M39" i="5"/>
  <c r="K39" i="5"/>
  <c r="L39" i="5"/>
  <c r="I39" i="5"/>
  <c r="D57" i="5"/>
  <c r="H57" i="5" s="1"/>
  <c r="P13" i="5"/>
  <c r="O13" i="5"/>
  <c r="N13" i="5"/>
  <c r="M13" i="5"/>
  <c r="L13" i="5"/>
  <c r="K13" i="5"/>
  <c r="I13" i="5"/>
  <c r="F13" i="5"/>
  <c r="D13" i="5"/>
  <c r="E13" i="5"/>
  <c r="P16" i="5"/>
  <c r="O16" i="5"/>
  <c r="N16" i="5"/>
  <c r="M16" i="5"/>
  <c r="L16" i="5"/>
  <c r="K16" i="5"/>
  <c r="I16" i="5"/>
  <c r="F16" i="5"/>
  <c r="E16" i="5"/>
  <c r="P32" i="5"/>
  <c r="O32" i="5"/>
  <c r="N32" i="5"/>
  <c r="M32" i="5"/>
  <c r="L32" i="5"/>
  <c r="K32" i="5"/>
  <c r="I32" i="5"/>
  <c r="F32" i="5"/>
  <c r="E32" i="5"/>
  <c r="D36" i="5"/>
  <c r="H36" i="5" s="1"/>
  <c r="G47" i="5"/>
  <c r="F47" i="5"/>
  <c r="E47" i="5"/>
  <c r="P47" i="5"/>
  <c r="O47" i="5"/>
  <c r="N47" i="5"/>
  <c r="M47" i="5"/>
  <c r="L47" i="5"/>
  <c r="K47" i="5"/>
  <c r="I47" i="5"/>
  <c r="D65" i="5"/>
  <c r="H65" i="5" s="1"/>
  <c r="E32" i="3"/>
  <c r="P49" i="5"/>
  <c r="O49" i="5"/>
  <c r="N49" i="5"/>
  <c r="M49" i="5"/>
  <c r="L49" i="5"/>
  <c r="K49" i="5"/>
  <c r="I49" i="5"/>
  <c r="F49" i="5"/>
  <c r="E49" i="5"/>
  <c r="G49" i="5"/>
  <c r="P27" i="5"/>
  <c r="O27" i="5"/>
  <c r="N27" i="5"/>
  <c r="M27" i="5"/>
  <c r="L27" i="5"/>
  <c r="K27" i="5"/>
  <c r="I27" i="5"/>
  <c r="F27" i="5"/>
  <c r="E27" i="5"/>
  <c r="D27" i="5"/>
  <c r="D53" i="5"/>
  <c r="H53" i="5" s="1"/>
  <c r="P17" i="5"/>
  <c r="O17" i="5"/>
  <c r="N17" i="5"/>
  <c r="M17" i="5"/>
  <c r="L17" i="5"/>
  <c r="K17" i="5"/>
  <c r="I17" i="5"/>
  <c r="F17" i="5"/>
  <c r="E17" i="5"/>
  <c r="P33" i="5"/>
  <c r="O33" i="5"/>
  <c r="N33" i="5"/>
  <c r="M33" i="5"/>
  <c r="L33" i="5"/>
  <c r="K33" i="5"/>
  <c r="I33" i="5"/>
  <c r="G33" i="5"/>
  <c r="F33" i="5"/>
  <c r="E33" i="5"/>
  <c r="D44" i="5"/>
  <c r="H44" i="5" s="1"/>
  <c r="G55" i="5"/>
  <c r="F55" i="5"/>
  <c r="E55" i="5"/>
  <c r="P55" i="5"/>
  <c r="O55" i="5"/>
  <c r="N55" i="5"/>
  <c r="M55" i="5"/>
  <c r="L55" i="5"/>
  <c r="K55" i="5"/>
  <c r="I55" i="5"/>
  <c r="D40" i="5"/>
  <c r="H40" i="5" s="1"/>
  <c r="Q35" i="5"/>
  <c r="R35" i="5" s="1"/>
  <c r="D49" i="5"/>
  <c r="H49" i="5" s="1"/>
  <c r="P18" i="5"/>
  <c r="O18" i="5"/>
  <c r="N18" i="5"/>
  <c r="M18" i="5"/>
  <c r="L18" i="5"/>
  <c r="K18" i="5"/>
  <c r="I18" i="5"/>
  <c r="F18" i="5"/>
  <c r="E18" i="5"/>
  <c r="D18" i="5"/>
  <c r="D52" i="5"/>
  <c r="H52" i="5" s="1"/>
  <c r="I38" i="5"/>
  <c r="G38" i="5"/>
  <c r="F38" i="5"/>
  <c r="E38" i="5"/>
  <c r="P38" i="5"/>
  <c r="O38" i="5"/>
  <c r="L38" i="5"/>
  <c r="N38" i="5"/>
  <c r="K38" i="5"/>
  <c r="M38" i="5"/>
  <c r="G63" i="5"/>
  <c r="F63" i="5"/>
  <c r="E63" i="5"/>
  <c r="P63" i="5"/>
  <c r="O63" i="5"/>
  <c r="N63" i="5"/>
  <c r="M63" i="5"/>
  <c r="L63" i="5"/>
  <c r="K63" i="5"/>
  <c r="I63" i="5"/>
  <c r="D48" i="5"/>
  <c r="H48" i="5" s="1"/>
  <c r="J51" i="5"/>
  <c r="J43" i="5"/>
  <c r="P14" i="5"/>
  <c r="O14" i="5"/>
  <c r="N14" i="5"/>
  <c r="M14" i="5"/>
  <c r="L14" i="5"/>
  <c r="K14" i="5"/>
  <c r="I14" i="5"/>
  <c r="F14" i="5"/>
  <c r="E14" i="5"/>
  <c r="D14" i="5"/>
  <c r="P31" i="5"/>
  <c r="O31" i="5"/>
  <c r="N31" i="5"/>
  <c r="M31" i="5"/>
  <c r="L31" i="5"/>
  <c r="K31" i="5"/>
  <c r="I31" i="5"/>
  <c r="F31" i="5"/>
  <c r="E31" i="5"/>
  <c r="D31" i="5"/>
  <c r="P19" i="5"/>
  <c r="O19" i="5"/>
  <c r="N19" i="5"/>
  <c r="M19" i="5"/>
  <c r="L19" i="5"/>
  <c r="K19" i="5"/>
  <c r="I19" i="5"/>
  <c r="F19" i="5"/>
  <c r="D19" i="5"/>
  <c r="E19" i="5"/>
  <c r="D60" i="5"/>
  <c r="H60" i="5" s="1"/>
  <c r="I46" i="5"/>
  <c r="G46" i="5"/>
  <c r="F46" i="5"/>
  <c r="E46" i="5"/>
  <c r="P46" i="5"/>
  <c r="O46" i="5"/>
  <c r="L46" i="5"/>
  <c r="K46" i="5"/>
  <c r="N46" i="5"/>
  <c r="M46" i="5"/>
  <c r="D56" i="5"/>
  <c r="H56" i="5" s="1"/>
  <c r="D67" i="5"/>
  <c r="H67" i="5" s="1"/>
  <c r="P8" i="5"/>
  <c r="O8" i="5"/>
  <c r="N8" i="5"/>
  <c r="M8" i="5"/>
  <c r="L8" i="5"/>
  <c r="K8" i="5"/>
  <c r="I8" i="5"/>
  <c r="F8" i="5"/>
  <c r="E8" i="5"/>
  <c r="J8" i="5" s="1"/>
  <c r="D8" i="5"/>
  <c r="F64" i="5"/>
  <c r="E64" i="5"/>
  <c r="J64" i="5" s="1"/>
  <c r="P64" i="5"/>
  <c r="O64" i="5"/>
  <c r="N64" i="5"/>
  <c r="M64" i="5"/>
  <c r="L64" i="5"/>
  <c r="K64" i="5"/>
  <c r="G64" i="5"/>
  <c r="I64" i="5"/>
  <c r="D23" i="5"/>
  <c r="P20" i="5"/>
  <c r="O20" i="5"/>
  <c r="N20" i="5"/>
  <c r="M20" i="5"/>
  <c r="L20" i="5"/>
  <c r="K20" i="5"/>
  <c r="I20" i="5"/>
  <c r="F20" i="5"/>
  <c r="D20" i="5"/>
  <c r="E20" i="5"/>
  <c r="D68" i="5"/>
  <c r="H68" i="5" s="1"/>
  <c r="I54" i="5"/>
  <c r="G54" i="5"/>
  <c r="F54" i="5"/>
  <c r="E54" i="5"/>
  <c r="P54" i="5"/>
  <c r="O54" i="5"/>
  <c r="L54" i="5"/>
  <c r="N54" i="5"/>
  <c r="M54" i="5"/>
  <c r="K54" i="5"/>
  <c r="D64" i="5"/>
  <c r="H64" i="5" s="1"/>
  <c r="D33" i="5"/>
  <c r="P24" i="5"/>
  <c r="O24" i="5"/>
  <c r="N24" i="5"/>
  <c r="M24" i="5"/>
  <c r="L24" i="5"/>
  <c r="K24" i="5"/>
  <c r="I24" i="5"/>
  <c r="F24" i="5"/>
  <c r="E24" i="5"/>
  <c r="D24" i="5"/>
  <c r="P25" i="5"/>
  <c r="O25" i="5"/>
  <c r="N25" i="5"/>
  <c r="M25" i="5"/>
  <c r="L25" i="5"/>
  <c r="K25" i="5"/>
  <c r="I25" i="5"/>
  <c r="F25" i="5"/>
  <c r="E25" i="5"/>
  <c r="J25" i="5" s="1"/>
  <c r="D25" i="5"/>
  <c r="P30" i="5"/>
  <c r="O30" i="5"/>
  <c r="N30" i="5"/>
  <c r="M30" i="5"/>
  <c r="L30" i="5"/>
  <c r="K30" i="5"/>
  <c r="I30" i="5"/>
  <c r="F30" i="5"/>
  <c r="E30" i="5"/>
  <c r="J30" i="5" s="1"/>
  <c r="D30" i="5"/>
  <c r="P15" i="5"/>
  <c r="O15" i="5"/>
  <c r="N15" i="5"/>
  <c r="M15" i="5"/>
  <c r="L15" i="5"/>
  <c r="K15" i="5"/>
  <c r="I15" i="5"/>
  <c r="F15" i="5"/>
  <c r="E15" i="5"/>
  <c r="D15" i="5"/>
  <c r="P21" i="5"/>
  <c r="O21" i="5"/>
  <c r="N21" i="5"/>
  <c r="M21" i="5"/>
  <c r="L21" i="5"/>
  <c r="K21" i="5"/>
  <c r="I21" i="5"/>
  <c r="F21" i="5"/>
  <c r="E21" i="5"/>
  <c r="D21" i="5"/>
  <c r="D66" i="5"/>
  <c r="H66" i="5" s="1"/>
  <c r="I62" i="5"/>
  <c r="G62" i="5"/>
  <c r="F62" i="5"/>
  <c r="E62" i="5"/>
  <c r="P62" i="5"/>
  <c r="O62" i="5"/>
  <c r="L62" i="5"/>
  <c r="N62" i="5"/>
  <c r="M62" i="5"/>
  <c r="K62" i="5"/>
  <c r="D39" i="5"/>
  <c r="H39" i="5" s="1"/>
  <c r="D17" i="5"/>
  <c r="Q50" i="5"/>
  <c r="R50" i="5" s="1"/>
  <c r="R34" i="5" l="1"/>
  <c r="J22" i="5"/>
  <c r="J10" i="5"/>
  <c r="J16" i="5"/>
  <c r="R51" i="5"/>
  <c r="Q54" i="5"/>
  <c r="R43" i="5"/>
  <c r="J63" i="5"/>
  <c r="J26" i="5"/>
  <c r="J37" i="5"/>
  <c r="Q40" i="5"/>
  <c r="J54" i="5"/>
  <c r="R54" i="5" s="1"/>
  <c r="R23" i="5"/>
  <c r="J15" i="5"/>
  <c r="Q49" i="5"/>
  <c r="J62" i="5"/>
  <c r="R62" i="5" s="1"/>
  <c r="Q24" i="5"/>
  <c r="J38" i="5"/>
  <c r="J28" i="5"/>
  <c r="Q9" i="5"/>
  <c r="R9" i="5" s="1"/>
  <c r="J59" i="5"/>
  <c r="Q27" i="5"/>
  <c r="Q63" i="5"/>
  <c r="Q62" i="5"/>
  <c r="Q25" i="5"/>
  <c r="R25" i="5" s="1"/>
  <c r="Q8" i="5"/>
  <c r="R8" i="5" s="1"/>
  <c r="S8" i="5" s="1"/>
  <c r="Q21" i="5"/>
  <c r="Q47" i="5"/>
  <c r="Q61" i="5"/>
  <c r="Q66" i="5"/>
  <c r="R22" i="5"/>
  <c r="Q45" i="5"/>
  <c r="Q16" i="5"/>
  <c r="Q48" i="5"/>
  <c r="Q65" i="5"/>
  <c r="Q67" i="5"/>
  <c r="Q38" i="5"/>
  <c r="R38" i="5" s="1"/>
  <c r="Q15" i="5"/>
  <c r="Q56" i="5"/>
  <c r="Q10" i="5"/>
  <c r="R10" i="5" s="1"/>
  <c r="Q60" i="5"/>
  <c r="Q12" i="5"/>
  <c r="Q52" i="5"/>
  <c r="J46" i="5"/>
  <c r="J31" i="5"/>
  <c r="Q18" i="5"/>
  <c r="J33" i="5"/>
  <c r="Q20" i="5"/>
  <c r="Q13" i="5"/>
  <c r="Q11" i="5"/>
  <c r="J68" i="5"/>
  <c r="J44" i="5"/>
  <c r="C7" i="6"/>
  <c r="E33" i="3"/>
  <c r="C8" i="6" s="1"/>
  <c r="Q31" i="5"/>
  <c r="Q33" i="5"/>
  <c r="Q39" i="5"/>
  <c r="Q37" i="5"/>
  <c r="R37" i="5" s="1"/>
  <c r="J36" i="5"/>
  <c r="J21" i="5"/>
  <c r="J19" i="5"/>
  <c r="Q55" i="5"/>
  <c r="J27" i="5"/>
  <c r="J47" i="5"/>
  <c r="J53" i="5"/>
  <c r="Q68" i="5"/>
  <c r="J48" i="5"/>
  <c r="Q28" i="5"/>
  <c r="Q44" i="5"/>
  <c r="J41" i="5"/>
  <c r="Q36" i="5"/>
  <c r="Q19" i="5"/>
  <c r="J39" i="5"/>
  <c r="Q53" i="5"/>
  <c r="J40" i="5"/>
  <c r="R40" i="5" s="1"/>
  <c r="J57" i="5"/>
  <c r="J49" i="5"/>
  <c r="Q64" i="5"/>
  <c r="R64" i="5" s="1"/>
  <c r="J14" i="5"/>
  <c r="J17" i="5"/>
  <c r="J32" i="5"/>
  <c r="J60" i="5"/>
  <c r="J52" i="5"/>
  <c r="Q41" i="5"/>
  <c r="J55" i="5"/>
  <c r="J61" i="5"/>
  <c r="J66" i="5"/>
  <c r="J12" i="5"/>
  <c r="Q59" i="5"/>
  <c r="J65" i="5"/>
  <c r="Q30" i="5"/>
  <c r="R30" i="5" s="1"/>
  <c r="Q46" i="5"/>
  <c r="J56" i="5"/>
  <c r="Q57" i="5"/>
  <c r="J67" i="5"/>
  <c r="J45" i="5"/>
  <c r="J24" i="5"/>
  <c r="J20" i="5"/>
  <c r="Q14" i="5"/>
  <c r="J18" i="5"/>
  <c r="Q17" i="5"/>
  <c r="Q32" i="5"/>
  <c r="J13" i="5"/>
  <c r="J11" i="5"/>
  <c r="Q29" i="5"/>
  <c r="R29" i="5" s="1"/>
  <c r="Q26" i="5"/>
  <c r="R26" i="5" s="1"/>
  <c r="R16" i="5" l="1"/>
  <c r="R47" i="5"/>
  <c r="R63" i="5"/>
  <c r="R49" i="5"/>
  <c r="R67" i="5"/>
  <c r="R28" i="5"/>
  <c r="R27" i="5"/>
  <c r="R59" i="5"/>
  <c r="S9" i="5"/>
  <c r="S10" i="5" s="1"/>
  <c r="R24" i="5"/>
  <c r="R15" i="5"/>
  <c r="R21" i="5"/>
  <c r="R66" i="5"/>
  <c r="R61" i="5"/>
  <c r="R17" i="5"/>
  <c r="R12" i="5"/>
  <c r="R45" i="5"/>
  <c r="R14" i="5"/>
  <c r="C16" i="6"/>
  <c r="R41" i="5"/>
  <c r="R65" i="5"/>
  <c r="R48" i="5"/>
  <c r="R11" i="5"/>
  <c r="R13" i="5"/>
  <c r="R57" i="5"/>
  <c r="R18" i="5"/>
  <c r="R68" i="5"/>
  <c r="R44" i="5"/>
  <c r="R19" i="5"/>
  <c r="R52" i="5"/>
  <c r="R56" i="5"/>
  <c r="R60" i="5"/>
  <c r="R32" i="5"/>
  <c r="R36" i="5"/>
  <c r="C15" i="6"/>
  <c r="R33" i="5"/>
  <c r="R20" i="5"/>
  <c r="C17" i="6"/>
  <c r="R31" i="5"/>
  <c r="R55" i="5"/>
  <c r="R39" i="5"/>
  <c r="R53" i="5"/>
  <c r="R46" i="5"/>
  <c r="S11" i="5" l="1"/>
  <c r="S12" i="5" s="1"/>
  <c r="S13" i="5" s="1"/>
  <c r="S14" i="5" s="1"/>
  <c r="S15" i="5" s="1"/>
  <c r="S16" i="5" s="1"/>
  <c r="S17" i="5" s="1"/>
  <c r="S18" i="5" s="1"/>
  <c r="S19" i="5" s="1"/>
  <c r="S20" i="5" s="1"/>
  <c r="S21" i="5" s="1"/>
  <c r="S22" i="5" s="1"/>
  <c r="S23" i="5" s="1"/>
  <c r="S24" i="5" s="1"/>
  <c r="S25" i="5" s="1"/>
  <c r="S26" i="5" s="1"/>
  <c r="S27" i="5" s="1"/>
  <c r="S28" i="5" s="1"/>
  <c r="C18" i="6"/>
  <c r="S29" i="5" l="1"/>
  <c r="S30" i="5" s="1"/>
  <c r="S31" i="5" s="1"/>
  <c r="S32" i="5" s="1"/>
  <c r="S33" i="5" s="1"/>
  <c r="S34" i="5" s="1"/>
  <c r="S35" i="5" s="1"/>
  <c r="S36" i="5" s="1"/>
  <c r="S37" i="5" s="1"/>
  <c r="S38" i="5" s="1"/>
  <c r="S39" i="5" s="1"/>
  <c r="S40" i="5" s="1"/>
  <c r="S41" i="5" s="1"/>
  <c r="S42" i="5" s="1"/>
  <c r="S43" i="5" s="1"/>
  <c r="S44" i="5" s="1"/>
  <c r="S45" i="5" s="1"/>
  <c r="S46" i="5" s="1"/>
  <c r="S47" i="5" s="1"/>
  <c r="S48" i="5" s="1"/>
  <c r="C12" i="6"/>
  <c r="S49" i="5" l="1"/>
  <c r="S50" i="5" s="1"/>
  <c r="S51" i="5" s="1"/>
  <c r="S52" i="5" s="1"/>
  <c r="S53" i="5" s="1"/>
  <c r="S54" i="5" s="1"/>
  <c r="S55" i="5" s="1"/>
  <c r="S56" i="5" s="1"/>
  <c r="S57" i="5" s="1"/>
  <c r="S58" i="5" s="1"/>
  <c r="S59" i="5" s="1"/>
  <c r="S60" i="5" s="1"/>
  <c r="S61" i="5" s="1"/>
  <c r="S62" i="5" s="1"/>
  <c r="S63" i="5" s="1"/>
  <c r="C13" i="6"/>
  <c r="S64" i="5" l="1"/>
  <c r="S65" i="5" s="1"/>
  <c r="S66" i="5" s="1"/>
  <c r="S67" i="5" s="1"/>
  <c r="S68" i="5" s="1"/>
  <c r="C14" i="6"/>
  <c r="B21" i="6" s="1"/>
</calcChain>
</file>

<file path=xl/sharedStrings.xml><?xml version="1.0" encoding="utf-8"?>
<sst xmlns="http://schemas.openxmlformats.org/spreadsheetml/2006/main" count="245" uniqueCount="205">
  <si>
    <t>将来設計シミュレーション</t>
  </si>
  <si>
    <t>〜 厚生労働省 相談時家計表フォーマット準拠／5択入力 〜</t>
  </si>
  <si>
    <t>扶養者年齢</t>
  </si>
  <si>
    <t>配偶者年齢</t>
  </si>
  <si>
    <t>住所：市町村</t>
  </si>
  <si>
    <t>広島県広島市中区基町</t>
  </si>
  <si>
    <t>【本シミュレーションの目的】</t>
  </si>
  <si>
    <t>節目研修キャリアアンケートの結果を踏まえ、配偶者・家族を含めた老後までの
家計収支を「見える化」するライフプランニングツールです。
厚生労働省「家計改善相談支援事業」で活用される
【相談時家計表】【家計計画表】【キャッシュフロー表】の3点セットの考え方に
準拠し、5択選択式で誰でも記入できる設計としています。
月単位の家計の現状把握から、100歳までの長期収支まで一気通貫で確認できます。</t>
  </si>
  <si>
    <t>【シート構成】</t>
  </si>
  <si>
    <t>① 基本情報</t>
  </si>
  <si>
    <t>世帯構成・年齢・現在資産・運用利回りを5択で入力</t>
  </si>
  <si>
    <t>② 相談時家計表</t>
  </si>
  <si>
    <t>【厚労省様式準拠】月単位の収入／支出／滞納借入／資産負債を5択入力。年間換算と収支差を自動算出</t>
  </si>
  <si>
    <t>③ ライフイベント表</t>
  </si>
  <si>
    <t>将来の大型支出（教育・住宅・自動車・介護・葬儀等）を5択入力</t>
  </si>
  <si>
    <t>④ キャッシュフロー表</t>
  </si>
  <si>
    <t>現年齢〜100歳までの年齢別収支・金融資産残高を自動算出</t>
  </si>
  <si>
    <t>⑤ 資産推移グラフ＆診断</t>
  </si>
  <si>
    <t>折れ線・棒グラフで可視化＋家計改善ポイントを自動診断</t>
  </si>
  <si>
    <t>【入力ルール】</t>
  </si>
  <si>
    <t>● 黄色のセルが入力欄です。1〜5の数値を選択肢から選んで入力してください。
● 各設問の選択肢に代表的な金額が示されています。
● 緑色のセルは自動計算結果（編集不要）です。
● 月額入力は年間額に自動換算されます（× 12）。
● 配偶者・子どもがいない場合は「該当なし」を選択してください。</t>
  </si>
  <si>
    <t>生成AIへの問い合わせプロンプト：以下のプロンプトを”コピペ”してください。次にこのEXCELシート（3.2_社員共通_アンケート_集計評価シート）のまま貼付け（＋）してください。尚、生成AIアプリは利用者にて選択してください。上の■5.、■6.に回答が追記されます。</t>
  </si>
  <si>
    <t>※ 本シミュレーションは概算であり、実際の収支は経済情勢・個別事情により変動します。</t>
  </si>
  <si>
    <t>① 基本情報入力</t>
  </si>
  <si>
    <t>世帯構成・現在資産などの基礎データを5択で入力してください。</t>
  </si>
  <si>
    <t>No.</t>
  </si>
  <si>
    <t>項目</t>
  </si>
  <si>
    <t>選択肢（1〜5から1つ選択）</t>
  </si>
  <si>
    <t>回答</t>
  </si>
  <si>
    <t>代表値
(代表値)</t>
  </si>
  <si>
    <t>本人の現在年齢</t>
  </si>
  <si>
    <t xml:space="preserve">  1. 25歳以下
  2. 26〜35歳
  3. 36〜45歳
  4. 46〜55歳
  5. 56歳以上</t>
  </si>
  <si>
    <t>退職予定年齢</t>
  </si>
  <si>
    <t xml:space="preserve">  1. 60歳
  2. 63歳
  3. 65歳
  4. 70歳
  5. 生涯現役（75歳）</t>
  </si>
  <si>
    <t>配偶者の有無と年齢差</t>
  </si>
  <si>
    <t xml:space="preserve">  1. 配偶者なし
  2. 同年齢
  3. 本人より3歳年下
  4. 本人より5歳年下
  5. 本人より3歳以上年上</t>
  </si>
  <si>
    <t>子どもの人数</t>
  </si>
  <si>
    <t xml:space="preserve">  1. なし
  2. 1人
  3. 2人
  4. 3人
  5. 4人以上</t>
  </si>
  <si>
    <t>末子の現在年齢</t>
  </si>
  <si>
    <t xml:space="preserve">  1. 子どもなし／既に独立
  2. 0〜5歳
  3. 6〜12歳
  4. 13〜18歳
  5. 19歳以上</t>
  </si>
  <si>
    <t>現在の金融資産（預貯金＋有価証券、万円）</t>
  </si>
  <si>
    <t xml:space="preserve">  1. 100万円未満
  2. 100〜500万円
  3. 500〜1500万円
  4. 1500〜3000万円
  5. 3000万円以上</t>
  </si>
  <si>
    <t>想定運用利回り（金融資産）</t>
  </si>
  <si>
    <t xml:space="preserve">  1. 運用しない（0%）
  2. 0.5%
  3. 1.5%
  4. 3%
  5. 5%以上</t>
  </si>
  <si>
    <t>② 相談時家計表（厚生労働省様式準拠／月額ベース）</t>
  </si>
  <si>
    <t>【現状の家計】を月単位で5択入力してください。年間換算は自動計算されます。代表値の単位：万円／月。</t>
  </si>
  <si>
    <t>【Ⅰ. 収入の部】（月額・手取り／可処分所得ベース）</t>
  </si>
  <si>
    <t>代表値
(万円/月)</t>
  </si>
  <si>
    <t>本人の給与・賞与（月額・手取り）</t>
  </si>
  <si>
    <t xml:space="preserve">  1. 10万円未満
  2. 10〜20万円
  3. 20〜30万円
  4. 30〜45万円
  5. 45万円以上</t>
  </si>
  <si>
    <t>配偶者の給与・賞与（月額・手取り）</t>
  </si>
  <si>
    <t xml:space="preserve">  1. 配偶者なし／無収入
  2. 5万円程度
  3. 10万円程度
  4. 20万円程度
  5. 30万円以上</t>
  </si>
  <si>
    <t>年金収入（月額・受給中の場合）</t>
  </si>
  <si>
    <t xml:space="preserve">  1. 受給前
  2. 5万円程度
  3. 15万円程度（基礎のみ）
  4. 22万円程度（夫婦標準）
  5. 30万円以上</t>
  </si>
  <si>
    <t>児童手当・児童扶養手当・育児手当</t>
  </si>
  <si>
    <t xml:space="preserve">  1. 受給なし
  2. 1万円
  3. 2万円
  4. 3万円
  5. 4万円以上</t>
  </si>
  <si>
    <t>その他の収入（副業・賃料・仕送り等）</t>
  </si>
  <si>
    <t xml:space="preserve">  1. なし
  2. 1万円
  3. 3万円
  4. 5万円
  5. 10万円以上</t>
  </si>
  <si>
    <t>収入合計（月額）</t>
  </si>
  <si>
    <t>【Ⅱ. 支出の部】（月額）</t>
  </si>
  <si>
    <t>食費（外食含む）</t>
  </si>
  <si>
    <t xml:space="preserve">  1. 3万円
  2. 5万円
  3. 7万円
  4. 10万円
  5. 15万円以上</t>
  </si>
  <si>
    <t>住居費（家賃・住宅ローン・管理費等）</t>
  </si>
  <si>
    <t xml:space="preserve">  1. なし／実家
  2. 5万円
  3. 8万円
  4. 12万円
  5. 18万円以上</t>
  </si>
  <si>
    <t>光熱水費（電気・ガス・水道）</t>
  </si>
  <si>
    <t xml:space="preserve">  1. 1万円
  2. 1.5万円
  3. 2万円
  4. 3万円
  5. 4万円以上</t>
  </si>
  <si>
    <t>通信費（携帯・固定・インターネット）</t>
  </si>
  <si>
    <t xml:space="preserve">  1. 5千円未満
  2. 1万円
  3. 2万円
  4. 3万円
  5. 4万円以上</t>
  </si>
  <si>
    <t>交通費（定期・ガソリン・駐車場）</t>
  </si>
  <si>
    <t xml:space="preserve">  1. 5千円未満
  2. 1万円
  3. 2万円
  4. 3万円
  5. 5万円以上</t>
  </si>
  <si>
    <t>教育費（学費・教材・習い事・塾）</t>
  </si>
  <si>
    <t xml:space="preserve">  1. なし
  2. 1万円
  3. 3万円
  4. 6万円
  5. 10万円以上</t>
  </si>
  <si>
    <t>保険料（生命・医療・自動車・火災等の合計）</t>
  </si>
  <si>
    <t xml:space="preserve">  1. 5千円未満
  2. 1万円
  3. 2万円
  4. 4万円
  5. 6万円以上</t>
  </si>
  <si>
    <t>医療費（病院・薬局・健康用品）</t>
  </si>
  <si>
    <t xml:space="preserve">  1. なし
  2. 5千円
  3. 1万円
  4. 2万円
  5. 3万円以上</t>
  </si>
  <si>
    <t>被服・美容費</t>
  </si>
  <si>
    <t>交際・娯楽・趣味・旅行費（月平均）</t>
  </si>
  <si>
    <t xml:space="preserve">  1. 5千円未満
  2. 1万円
  3. 3万円
  4. 5万円
  5. 8万円以上</t>
  </si>
  <si>
    <t>子ども関連費（食費・被服除く、おこづかい・部活等）</t>
  </si>
  <si>
    <t xml:space="preserve">  1. 該当なし
  2. 5千円
  3. 1万円
  4. 2万円
  5. 3万円以上</t>
  </si>
  <si>
    <t>仕送り・親族への援助</t>
  </si>
  <si>
    <t>税金・社会保険料（住民税、国保等／給与天引き済の場合は0）</t>
  </si>
  <si>
    <t xml:space="preserve">  1. 給与天引き済（0円）
  2. 1万円
  3. 3万円
  4. 5万円
  5. 8万円以上</t>
  </si>
  <si>
    <t>借入返済（住宅ローン以外、奨学金・カード・消費者金融等）</t>
  </si>
  <si>
    <t>その他支出（冠婚葬祭・予備費等）</t>
  </si>
  <si>
    <t>支出合計（月額）</t>
  </si>
  <si>
    <t>【Ⅲ. 収支差（月額・年額の自動計算）】</t>
  </si>
  <si>
    <t>収支差（月額・収入合計−支出合計）</t>
  </si>
  <si>
    <t>収支差（年額・月額×12）</t>
  </si>
  <si>
    <t>【Ⅳ. 滞納・借入の状況】（厚労省様式の重要項目）</t>
  </si>
  <si>
    <t>代表値
(万円)</t>
  </si>
  <si>
    <t>現在の滞納額（家賃・税金・公共料金等の合計）</t>
  </si>
  <si>
    <t xml:space="preserve">  1. なし
  2. 10万円未満
  3. 10〜30万円
  4. 30〜100万円
  5. 100万円以上</t>
  </si>
  <si>
    <t>借入残高合計（住宅ローン以外）</t>
  </si>
  <si>
    <t xml:space="preserve">  1. なし
  2. 50万円未満
  3. 50〜200万円
  4. 200〜500万円
  5. 500万円以上</t>
  </si>
  <si>
    <t>住宅ローン残高</t>
  </si>
  <si>
    <t xml:space="preserve">  1. なし／完済
  2. 500万円未満
  3. 500〜1500万円
  4. 1500〜3000万円
  5. 3000万円以上</t>
  </si>
  <si>
    <t>主な借入の使途</t>
  </si>
  <si>
    <t xml:space="preserve">  1. 借入なし
  2. 住宅・車などの資産形成
  3. 教育費
  4. 生活費補填
  5. 他の借入返済（多重債務）</t>
  </si>
  <si>
    <t>【Ⅴ. 資産・負債の状況】</t>
  </si>
  <si>
    <t>現預金（普通・定期）</t>
  </si>
  <si>
    <t>有価証券（株式・投信・債券）</t>
  </si>
  <si>
    <t xml:space="preserve">  1. なし
  2. 100万円未満
  3. 100〜500万円
  4. 500〜1500万円
  5. 1500万円以上</t>
  </si>
  <si>
    <t>不動産（自宅以外、評価額）</t>
  </si>
  <si>
    <t xml:space="preserve">  1. なし
  2. 500万円
  3. 1500万円
  4. 3000万円
  5. 5000万円以上</t>
  </si>
  <si>
    <t>純資産（資産合計−負債合計）</t>
  </si>
  <si>
    <t>【厚労省様式の出典】 本シートは、厚生労働省「家計改善相談支援事業」で活用される相談時家計表の項目構成に準拠しています。月額単位で家計の現状を見える化し、収支差・滞納借入・資産負債を一覧で把握することを目的としています。</t>
  </si>
  <si>
    <t>③ ライフイベント表（将来の大型支出・収入）</t>
  </si>
  <si>
    <t>将来想定される大型のイベント支出・収入を5択で入力してください。代表値の単位：万円。</t>
  </si>
  <si>
    <t>【教育費（子ども関連）】</t>
  </si>
  <si>
    <t>子ども1人あたりの想定年間教育費（小〜大学までの平均）</t>
  </si>
  <si>
    <t xml:space="preserve">  1. 公立中心：50万円
  2. 公立＋一部私立：80万円
  3. 私立中心：130万円
  4. 私立＋大学下宿：180万円
  5. 医歯系等：250万円以上</t>
  </si>
  <si>
    <t>末子の教育費完了年齢（独立想定）</t>
  </si>
  <si>
    <t xml:space="preserve">  1. 既に完了
  2. 18歳まで
  3. 22歳まで（大学）
  4. 24歳まで（大学院）
  5. 27歳以上（医歯薬）</t>
  </si>
  <si>
    <t>【退職金・大型収入】</t>
  </si>
  <si>
    <t>退職金（一時金）の見込み額</t>
  </si>
  <si>
    <t xml:space="preserve">  1. なし
  2. 500万円
  3. 1000万円
  4. 2000万円
  5. 3000万円以上</t>
  </si>
  <si>
    <t>相続・贈与の見込み（生涯通算）</t>
  </si>
  <si>
    <t>退職後・継続雇用の年収</t>
  </si>
  <si>
    <t xml:space="preserve">  1. なし
  2. 200万円
  3. 300万円
  4. 400万円
  5. 500万円以上</t>
  </si>
  <si>
    <t>継続雇用の終了年齢</t>
  </si>
  <si>
    <t xml:space="preserve">  1. しない
  2. 63歳
  3. 65歳
  4. 70歳
  5. 75歳</t>
  </si>
  <si>
    <t>本人の年金見込み（年額）※ねんきん定期便参照</t>
  </si>
  <si>
    <t xml:space="preserve">  1. 100万円
  2. 150万円
  3. 200万円
  4. 250万円
  5. 300万円以上</t>
  </si>
  <si>
    <t>配偶者の年金見込み（年額）</t>
  </si>
  <si>
    <t xml:space="preserve">  1. なし／60万円未満
  2. 70万円程度
  3. 120万円程度
  4. 180万円程度
  5. 220万円以上</t>
  </si>
  <si>
    <t>年金受給開始年齢</t>
  </si>
  <si>
    <t xml:space="preserve">  1. 60歳（繰上げ）
  2. 63歳
  3. 65歳（標準）
  4. 68歳
  5. 75歳（繰下げ）</t>
  </si>
  <si>
    <t>【大型ライフイベント支出】</t>
  </si>
  <si>
    <t>自動車買い替え（生涯総額）</t>
  </si>
  <si>
    <t xml:space="preserve">  1. なし
  2. 300万円
  3. 600万円
  4. 1000万円
  5. 1500万円以上</t>
  </si>
  <si>
    <t>住宅リフォーム・建替え予算</t>
  </si>
  <si>
    <t xml:space="preserve">  1. なし
  2. 300万円
  3. 700万円
  4. 1500万円
  5. 2500万円以上</t>
  </si>
  <si>
    <t>子どもの結婚援助（人数分合計）</t>
  </si>
  <si>
    <t xml:space="preserve">  1. なし
  2. 100万円
  3. 300万円
  4. 500万円
  5. 800万円以上</t>
  </si>
  <si>
    <t>老後の趣味・旅行費（生涯総額）</t>
  </si>
  <si>
    <t xml:space="preserve">  1. なし
  2. 100万円
  3. 300万円
  4. 600万円
  5. 1000万円以上</t>
  </si>
  <si>
    <t>70歳以降の追加医療・介護費（年額・夫婦合計）</t>
  </si>
  <si>
    <t xml:space="preserve">  1. 20万円
  2. 40万円
  3. 70万円
  4. 120万円
  5. 180万円以上</t>
  </si>
  <si>
    <t>葬儀・墓所などの終末関連費（夫婦分）</t>
  </si>
  <si>
    <t xml:space="preserve">  1. なし／準備済
  2. 100万円
  3. 200万円
  4. 400万円
  5. 600万円以上</t>
  </si>
  <si>
    <t>④ 年齢別キャッシュフロー表（自動計算／〜100歳）</t>
  </si>
  <si>
    <t>※ ①〜③シートの入力から、現年齢〜100歳までの年間収支と金融資産残高を自動算出。金額単位：万円。</t>
  </si>
  <si>
    <t>【入力値サマリー】</t>
  </si>
  <si>
    <t>現在年齢</t>
  </si>
  <si>
    <t>退職予定</t>
  </si>
  <si>
    <t>配偶者差</t>
  </si>
  <si>
    <t>子ども</t>
  </si>
  <si>
    <t>末子</t>
  </si>
  <si>
    <t>現在資産</t>
  </si>
  <si>
    <t>運用利回</t>
  </si>
  <si>
    <t>経過
年</t>
  </si>
  <si>
    <t>西暦</t>
  </si>
  <si>
    <t>本人
年齢</t>
  </si>
  <si>
    <t>配偶者
年齢</t>
  </si>
  <si>
    <t>【収入】(万円/年)</t>
  </si>
  <si>
    <t>【支出】(万円/年)</t>
  </si>
  <si>
    <t>年間
収支</t>
  </si>
  <si>
    <t>金融資産
残高</t>
  </si>
  <si>
    <t>本人
賃金</t>
  </si>
  <si>
    <t>配偶者
賃金</t>
  </si>
  <si>
    <t>本人
年金</t>
  </si>
  <si>
    <t>配偶者
年金</t>
  </si>
  <si>
    <t>退職金
相続等</t>
  </si>
  <si>
    <t>収入計</t>
  </si>
  <si>
    <t>生活費
（家計表）</t>
  </si>
  <si>
    <t>住居費</t>
  </si>
  <si>
    <t>保険</t>
  </si>
  <si>
    <t>教育費</t>
  </si>
  <si>
    <t>医療
介護</t>
  </si>
  <si>
    <t>ライフ
イベント</t>
  </si>
  <si>
    <t>支出計</t>
  </si>
  <si>
    <t xml:space="preserve">         </t>
  </si>
  <si>
    <t xml:space="preserve"> ※ ④キャッシュフロー表のデータを元に、金融資産の推移と簡易診断を表示します。</t>
  </si>
  <si>
    <t>【家計の現状サマリー（②相談時家計表より）】</t>
  </si>
  <si>
    <t>月額収入合計</t>
  </si>
  <si>
    <t>世帯月収（手取り）</t>
  </si>
  <si>
    <t>月額支出合計</t>
  </si>
  <si>
    <t>世帯月間支出</t>
  </si>
  <si>
    <t>月額収支差</t>
  </si>
  <si>
    <t>プラス：黒字／マイナス：赤字</t>
  </si>
  <si>
    <t>年額収支差</t>
  </si>
  <si>
    <t>年間貯蓄可能額</t>
  </si>
  <si>
    <t>純資産（資産−負債）</t>
  </si>
  <si>
    <t>本当の意味での資産</t>
  </si>
  <si>
    <t>【将来資産の診断（④キャッシュフロー表より）】</t>
  </si>
  <si>
    <t>退職時の金融資産</t>
  </si>
  <si>
    <t>退職直後の資産水準（2,000万円以上が目安）</t>
  </si>
  <si>
    <t>80歳時点の金融資産</t>
  </si>
  <si>
    <t>老後中盤の資産（プラス維持が必要）</t>
  </si>
  <si>
    <t>95歳時点の金融資産</t>
  </si>
  <si>
    <t>長寿リスクへの備え</t>
  </si>
  <si>
    <t>生涯収入合計</t>
  </si>
  <si>
    <t>現年齢〜100歳までの全収入</t>
  </si>
  <si>
    <t>生涯支出合計</t>
  </si>
  <si>
    <t>現年齢〜100歳までの全支出</t>
  </si>
  <si>
    <t>生涯収支差額</t>
  </si>
  <si>
    <t>プラス：余裕／マイナス：不足</t>
  </si>
  <si>
    <t>資産が枯渇する年齢</t>
  </si>
  <si>
    <t>資産がマイナスになる年齢</t>
  </si>
  <si>
    <t>【総合判定】</t>
  </si>
  <si>
    <t>一部シートにはサンプル数値を置いています。
参照のうえご自身の希望金額を上書きして利用してください！　　　　　　　　　　　　　　　　　　　※より詳細なシュミレーションを要望される方は　6_2_ライフプラン_詳細版v3 20260531　シートを使用してください。</t>
    <rPh sb="33" eb="35">
      <t>キンガク</t>
    </rPh>
    <rPh sb="72" eb="74">
      <t>ショウサイ</t>
    </rPh>
    <rPh sb="84" eb="86">
      <t>ヨウボウ</t>
    </rPh>
    <rPh sb="89" eb="90">
      <t>カタ</t>
    </rPh>
    <rPh sb="122" eb="124">
      <t>シヨウ</t>
    </rPh>
    <phoneticPr fontId="26"/>
  </si>
  <si>
    <t>あなたは経験豊富なキャリコンとCFPです。#「①基本情報」シートから「③ライフイベント表」シートまでのB列、C列、D列、E列を参照　＃「④キャッシュフロー表」シートB4～S83、「⑤資産推移グラフ」シートのC列を参照　＃それにより「⑤資産推移グラフ」のB20～H22の【総合判定】についB22～H22に600文字程度で記載してください。</t>
    <phoneticPr fontId="26"/>
  </si>
  <si>
    <t>現在40歳、60歳退職予定、配偶者は3歳年下、子ども3人（末子9歳）という前提では、現役期前半に教育費・住宅関連支出が重なり、年間収支は赤字が続く時期があります。現在の金融資産は50万円と薄く、住宅ローン1,000万円、その他借入25万円もあるため、突発支出への耐性は高くありません。一方、相談時家計表では月収37万円、月支出27万円で月10万円程度の黒字余地があり、この黒字を確実に貯蓄へ回せれば改善余地は十分あります。2036年以降は教育費負担の軽減で収支が改善し、60歳時には退職金2,000万円により資産水準が大きく回復します。さらに70歳までの継続雇用、68歳からの本人・配偶者年金により、老後の生活費は概ね維持可能です。ただし80歳以降は医療・介護費、自動車買替、終末費用等により資産が緩やかに減少するため油断は禁物です。総合判定は「ほぼ安心」。今後は固定費、保険、通信費の見直し、教育費の上限管理、退職金を生活費補填に使い過ぎないルール化、少額でも継続できる予備資金づくりを優先してください。加えて、60歳前後は収入構造が変わる大きな節目ですので、退職前に住宅ローン残高、教育費の残年数、年金見込額を再確認し、退職金のうち生活防衛資金・老後資金・一時支出用資金を分けて管理すると安心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</si>
</sst>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&quot;歳&quot;"/>
    <numFmt numFmtId="177" formatCode="0&quot;人&quot;"/>
    <numFmt numFmtId="178" formatCode="#,##0&quot;万円&quot;"/>
    <numFmt numFmtId="179" formatCode="0.0%"/>
    <numFmt numFmtId="180" formatCode="#,##0.0"/>
    <numFmt numFmtId="181" formatCode="#,##0.0&quot;万円&quot;"/>
    <numFmt numFmtId="182" formatCode="#,##0.0&quot;万円&quot;;[Red]\(#,##0.0&quot;)万円&quot;;\-"/>
    <numFmt numFmtId="183" formatCode="#,##0&quot;万円&quot;;[Red]\(#,##0&quot;)万円&quot;;\-"/>
    <numFmt numFmtId="184" formatCode="#,##0;[Red]\(#,##0\);\-"/>
    <numFmt numFmtId="185" formatCode="#,##0.0&quot;万円/月&quot;"/>
    <numFmt numFmtId="186" formatCode="#,##0.0&quot;万円/月&quot;;[Red]\(#,##0.0&quot;)万円/月&quot;;\-"/>
    <numFmt numFmtId="187" formatCode="#,##0&quot;万円/年&quot;;[Red]\(#,##0&quot;)万円/年&quot;;\-"/>
  </numFmts>
  <fonts count="42">
    <font>
      <sz val="11"/>
      <color theme="1"/>
      <name val="Calibri"/>
      <family val="2"/>
      <charset val="1"/>
    </font>
    <font>
      <b/>
      <sz val="18"/>
      <color rgb="FFFFFFFF"/>
      <name val="Noto Sans CJK SC"/>
      <family val="2"/>
    </font>
    <font>
      <i/>
      <sz val="12"/>
      <color rgb="FF1F4E78"/>
      <name val="Noto Sans CJK SC"/>
      <family val="2"/>
    </font>
    <font>
      <b/>
      <sz val="11"/>
      <color rgb="FF000000"/>
      <name val="Noto Sans CJK SC"/>
      <family val="2"/>
    </font>
    <font>
      <b/>
      <sz val="11"/>
      <color rgb="FF1F4E78"/>
      <name val="Noto Sans CJK SC"/>
      <family val="2"/>
    </font>
    <font>
      <b/>
      <sz val="16"/>
      <color rgb="FFFFFFFF"/>
      <name val="Noto Sans CJK SC"/>
      <family val="2"/>
    </font>
    <font>
      <i/>
      <sz val="10"/>
      <color rgb="FF1F4E78"/>
      <name val="Noto Sans CJK SC"/>
      <family val="2"/>
    </font>
    <font>
      <b/>
      <sz val="11"/>
      <color rgb="FF000000"/>
      <name val="ＭＳ Ｐゴシック"/>
      <family val="3"/>
      <charset val="128"/>
    </font>
    <font>
      <b/>
      <sz val="10"/>
      <name val="Noto Sans CJK SC"/>
      <family val="2"/>
    </font>
    <font>
      <sz val="9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b/>
      <sz val="10"/>
      <color rgb="FF1F4E78"/>
      <name val="ＭＳ Ｐゴシック"/>
      <family val="3"/>
      <charset val="128"/>
    </font>
    <font>
      <b/>
      <sz val="12"/>
      <color rgb="FFFFFFFF"/>
      <name val="Noto Sans CJK SC"/>
      <family val="2"/>
    </font>
    <font>
      <b/>
      <sz val="11"/>
      <color rgb="FFFFFFFF"/>
      <name val="Noto Sans CJK SC"/>
      <family val="2"/>
    </font>
    <font>
      <b/>
      <sz val="12"/>
      <color rgb="FF1B5E2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rgb="FFB71C1C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1F4E78"/>
      <name val="ＭＳ Ｐゴシック"/>
      <family val="3"/>
      <charset val="128"/>
    </font>
    <font>
      <i/>
      <sz val="9"/>
      <color rgb="FF595959"/>
      <name val="Noto Sans CJK SC"/>
      <family val="2"/>
    </font>
    <font>
      <b/>
      <sz val="9"/>
      <name val="Noto Sans CJK SC"/>
      <family val="2"/>
    </font>
    <font>
      <b/>
      <sz val="9"/>
      <color rgb="FF1F4E78"/>
      <name val="ＭＳ Ｐゴシック"/>
      <family val="3"/>
      <charset val="128"/>
    </font>
    <font>
      <b/>
      <sz val="10"/>
      <color rgb="FF1B5E20"/>
      <name val="ＭＳ Ｐゴシック"/>
      <family val="3"/>
      <charset val="128"/>
    </font>
    <font>
      <b/>
      <sz val="10"/>
      <color rgb="FFB71C1C"/>
      <name val="ＭＳ Ｐゴシック"/>
      <family val="3"/>
      <charset val="128"/>
    </font>
    <font>
      <b/>
      <sz val="11"/>
      <color rgb="FF1F4E78"/>
      <name val="ＭＳ Ｐゴシック"/>
      <family val="3"/>
      <charset val="128"/>
    </font>
    <font>
      <b/>
      <sz val="14"/>
      <color rgb="FFC00000"/>
      <name val="Noto Sans CJK SC"/>
      <family val="2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0"/>
      <name val="Calibri"/>
      <family val="2"/>
      <charset val="1"/>
    </font>
    <font>
      <i/>
      <sz val="10"/>
      <color rgb="FF1F4E78"/>
      <name val="ＭＳ ゴシック"/>
      <family val="3"/>
      <charset val="128"/>
    </font>
    <font>
      <b/>
      <i/>
      <sz val="10"/>
      <color rgb="FF1F4E78"/>
      <name val="Noto Sans CJK SC"/>
      <family val="2"/>
    </font>
    <font>
      <b/>
      <sz val="11"/>
      <color rgb="FF000000"/>
      <name val="ＭＳ 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rgb="FF8B0000"/>
      <name val="Meiryo"/>
      <family val="3"/>
      <charset val="128"/>
    </font>
    <font>
      <b/>
      <sz val="11"/>
      <color theme="3"/>
      <name val="游ゴシック"/>
      <family val="2"/>
      <charset val="128"/>
    </font>
    <font>
      <i/>
      <sz val="16"/>
      <color rgb="FFC00000"/>
      <name val="Noto Sans CJK SC"/>
      <family val="2"/>
    </font>
    <font>
      <sz val="16"/>
      <color theme="1"/>
      <name val="Calibri"/>
      <family val="2"/>
      <charset val="1"/>
    </font>
    <font>
      <b/>
      <sz val="10"/>
      <color rgb="FFFF0000"/>
      <name val="ＭＳ ゴシック"/>
      <family val="3"/>
      <charset val="128"/>
    </font>
    <font>
      <b/>
      <sz val="10"/>
      <color rgb="FFFF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BDD7EE"/>
        <bgColor rgb="FFD9D9D9"/>
      </patternFill>
    </fill>
    <fill>
      <patternFill patternType="solid">
        <fgColor rgb="FFDEEBF7"/>
        <bgColor rgb="FFE2EFDA"/>
      </patternFill>
    </fill>
    <fill>
      <patternFill patternType="solid">
        <fgColor rgb="FFFFF2CC"/>
        <bgColor rgb="FFF2F2F2"/>
      </patternFill>
    </fill>
    <fill>
      <patternFill patternType="solid">
        <fgColor rgb="FFE2EFDA"/>
        <bgColor rgb="FFDEEBF7"/>
      </patternFill>
    </fill>
    <fill>
      <patternFill patternType="solid">
        <fgColor rgb="FF2E7D32"/>
        <bgColor rgb="FF1B5E20"/>
      </patternFill>
    </fill>
    <fill>
      <patternFill patternType="solid">
        <fgColor rgb="FFC8E6C9"/>
        <bgColor rgb="FFD9D9D9"/>
      </patternFill>
    </fill>
    <fill>
      <patternFill patternType="solid">
        <fgColor rgb="FFC62828"/>
        <bgColor rgb="FFB71C1C"/>
      </patternFill>
    </fill>
    <fill>
      <patternFill patternType="solid">
        <fgColor rgb="FFFFCDD2"/>
        <bgColor rgb="FFD9D9D9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8F9FA"/>
      </patternFill>
    </fill>
    <fill>
      <patternFill patternType="solid">
        <fgColor rgb="FFF8F9FA"/>
        <b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rgb="FFE2EFDA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7EAB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0"/>
      </patternFill>
    </fill>
    <fill>
      <patternFill patternType="solid">
        <fgColor theme="6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medium">
        <color rgb="FF1F4E7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/>
      <right/>
      <top style="thin">
        <color rgb="FF80808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B0000"/>
      </left>
      <right style="thin">
        <color rgb="FF8B0000"/>
      </right>
      <top style="thin">
        <color rgb="FF8B0000"/>
      </top>
      <bottom style="thin">
        <color rgb="FF8B0000"/>
      </bottom>
      <diagonal/>
    </border>
    <border>
      <left/>
      <right style="medium">
        <color rgb="FFCC6600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176" fontId="11" fillId="6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177" fontId="11" fillId="6" borderId="2" xfId="0" applyNumberFormat="1" applyFont="1" applyFill="1" applyBorder="1" applyAlignment="1">
      <alignment horizontal="center" vertical="center" wrapText="1"/>
    </xf>
    <xf numFmtId="178" fontId="11" fillId="6" borderId="2" xfId="0" applyNumberFormat="1" applyFont="1" applyFill="1" applyBorder="1" applyAlignment="1">
      <alignment horizontal="center" vertical="center" wrapText="1"/>
    </xf>
    <xf numFmtId="179" fontId="11" fillId="6" borderId="2" xfId="0" applyNumberFormat="1" applyFont="1" applyFill="1" applyBorder="1" applyAlignment="1">
      <alignment horizontal="center" vertical="center" wrapText="1"/>
    </xf>
    <xf numFmtId="180" fontId="11" fillId="6" borderId="2" xfId="0" applyNumberFormat="1" applyFont="1" applyFill="1" applyBorder="1" applyAlignment="1">
      <alignment horizontal="center" vertical="center" wrapText="1"/>
    </xf>
    <xf numFmtId="181" fontId="14" fillId="8" borderId="3" xfId="0" applyNumberFormat="1" applyFont="1" applyFill="1" applyBorder="1" applyAlignment="1">
      <alignment horizontal="center" vertical="center" wrapText="1"/>
    </xf>
    <xf numFmtId="181" fontId="16" fillId="10" borderId="3" xfId="0" applyNumberFormat="1" applyFont="1" applyFill="1" applyBorder="1" applyAlignment="1">
      <alignment horizontal="center" vertical="center" wrapText="1"/>
    </xf>
    <xf numFmtId="182" fontId="17" fillId="5" borderId="3" xfId="0" applyNumberFormat="1" applyFont="1" applyFill="1" applyBorder="1" applyAlignment="1">
      <alignment horizontal="center" vertical="center" wrapText="1"/>
    </xf>
    <xf numFmtId="183" fontId="17" fillId="5" borderId="3" xfId="0" applyNumberFormat="1" applyFont="1" applyFill="1" applyBorder="1" applyAlignment="1">
      <alignment horizontal="center" vertical="center" wrapText="1"/>
    </xf>
    <xf numFmtId="183" fontId="18" fillId="5" borderId="3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center" vertical="center" wrapText="1"/>
    </xf>
    <xf numFmtId="176" fontId="21" fillId="6" borderId="2" xfId="0" applyNumberFormat="1" applyFont="1" applyFill="1" applyBorder="1" applyAlignment="1">
      <alignment horizontal="center" vertical="center" wrapText="1"/>
    </xf>
    <xf numFmtId="177" fontId="21" fillId="6" borderId="2" xfId="0" applyNumberFormat="1" applyFont="1" applyFill="1" applyBorder="1" applyAlignment="1">
      <alignment horizontal="center" vertical="center" wrapText="1"/>
    </xf>
    <xf numFmtId="178" fontId="21" fillId="6" borderId="2" xfId="0" applyNumberFormat="1" applyFont="1" applyFill="1" applyBorder="1" applyAlignment="1">
      <alignment horizontal="center" vertical="center" wrapText="1"/>
    </xf>
    <xf numFmtId="179" fontId="21" fillId="6" borderId="2" xfId="0" applyNumberFormat="1" applyFont="1" applyFill="1" applyBorder="1" applyAlignment="1">
      <alignment horizontal="center" vertical="center" wrapText="1"/>
    </xf>
    <xf numFmtId="184" fontId="0" fillId="0" borderId="2" xfId="0" applyNumberFormat="1" applyBorder="1" applyAlignment="1">
      <alignment horizontal="right" vertical="center"/>
    </xf>
    <xf numFmtId="184" fontId="22" fillId="0" borderId="2" xfId="0" applyNumberFormat="1" applyFont="1" applyBorder="1" applyAlignment="1">
      <alignment horizontal="right" vertical="center"/>
    </xf>
    <xf numFmtId="184" fontId="23" fillId="0" borderId="2" xfId="0" applyNumberFormat="1" applyFont="1" applyBorder="1" applyAlignment="1">
      <alignment horizontal="right" vertical="center"/>
    </xf>
    <xf numFmtId="184" fontId="15" fillId="0" borderId="2" xfId="0" applyNumberFormat="1" applyFont="1" applyBorder="1" applyAlignment="1">
      <alignment horizontal="right" vertical="center"/>
    </xf>
    <xf numFmtId="184" fontId="11" fillId="0" borderId="2" xfId="0" applyNumberFormat="1" applyFont="1" applyBorder="1" applyAlignment="1">
      <alignment horizontal="right" vertical="center"/>
    </xf>
    <xf numFmtId="0" fontId="0" fillId="13" borderId="2" xfId="0" applyFill="1" applyBorder="1" applyAlignment="1">
      <alignment horizontal="center" vertical="center" wrapText="1"/>
    </xf>
    <xf numFmtId="184" fontId="0" fillId="13" borderId="2" xfId="0" applyNumberFormat="1" applyFill="1" applyBorder="1" applyAlignment="1">
      <alignment horizontal="right" vertical="center"/>
    </xf>
    <xf numFmtId="184" fontId="22" fillId="13" borderId="2" xfId="0" applyNumberFormat="1" applyFont="1" applyFill="1" applyBorder="1" applyAlignment="1">
      <alignment horizontal="right" vertical="center"/>
    </xf>
    <xf numFmtId="184" fontId="23" fillId="13" borderId="2" xfId="0" applyNumberFormat="1" applyFont="1" applyFill="1" applyBorder="1" applyAlignment="1">
      <alignment horizontal="right" vertical="center"/>
    </xf>
    <xf numFmtId="184" fontId="15" fillId="13" borderId="2" xfId="0" applyNumberFormat="1" applyFont="1" applyFill="1" applyBorder="1" applyAlignment="1">
      <alignment horizontal="right" vertical="center"/>
    </xf>
    <xf numFmtId="184" fontId="11" fillId="13" borderId="2" xfId="0" applyNumberFormat="1" applyFont="1" applyFill="1" applyBorder="1" applyAlignment="1">
      <alignment horizontal="right" vertical="center"/>
    </xf>
    <xf numFmtId="185" fontId="24" fillId="6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186" fontId="24" fillId="6" borderId="2" xfId="0" applyNumberFormat="1" applyFont="1" applyFill="1" applyBorder="1" applyAlignment="1">
      <alignment horizontal="center" vertical="center" wrapText="1"/>
    </xf>
    <xf numFmtId="187" fontId="24" fillId="6" borderId="2" xfId="0" applyNumberFormat="1" applyFont="1" applyFill="1" applyBorder="1" applyAlignment="1">
      <alignment horizontal="center" vertical="center" wrapText="1"/>
    </xf>
    <xf numFmtId="183" fontId="24" fillId="6" borderId="2" xfId="0" applyNumberFormat="1" applyFont="1" applyFill="1" applyBorder="1" applyAlignment="1">
      <alignment horizontal="center" vertical="center" wrapText="1"/>
    </xf>
    <xf numFmtId="178" fontId="24" fillId="6" borderId="2" xfId="0" applyNumberFormat="1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9" fillId="14" borderId="0" xfId="0" applyFont="1" applyFill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15" borderId="0" xfId="0" applyFill="1" applyAlignment="1">
      <alignment horizontal="left"/>
    </xf>
    <xf numFmtId="0" fontId="29" fillId="15" borderId="0" xfId="0" applyFont="1" applyFill="1" applyAlignment="1">
      <alignment horizontal="left"/>
    </xf>
    <xf numFmtId="0" fontId="0" fillId="16" borderId="0" xfId="0" applyFill="1"/>
    <xf numFmtId="0" fontId="30" fillId="0" borderId="0" xfId="0" applyFont="1"/>
    <xf numFmtId="0" fontId="32" fillId="18" borderId="5" xfId="0" applyFont="1" applyFill="1" applyBorder="1" applyAlignment="1">
      <alignment horizontal="center" vertical="center"/>
    </xf>
    <xf numFmtId="0" fontId="33" fillId="18" borderId="6" xfId="0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183" fontId="24" fillId="6" borderId="15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36" fillId="22" borderId="28" xfId="0" applyFont="1" applyFill="1" applyBorder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/>
    </xf>
    <xf numFmtId="0" fontId="8" fillId="0" borderId="18" xfId="0" applyFont="1" applyBorder="1" applyAlignment="1">
      <alignment horizontal="left" vertical="center" wrapText="1"/>
    </xf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0" borderId="8" xfId="0" applyBorder="1"/>
    <xf numFmtId="0" fontId="0" fillId="0" borderId="9" xfId="0" applyBorder="1"/>
    <xf numFmtId="0" fontId="37" fillId="21" borderId="25" xfId="0" applyFont="1" applyFill="1" applyBorder="1" applyAlignment="1">
      <alignment vertical="center" wrapText="1"/>
    </xf>
    <xf numFmtId="0" fontId="35" fillId="14" borderId="24" xfId="0" applyFont="1" applyFill="1" applyBorder="1" applyAlignment="1">
      <alignment vertical="center" wrapText="1"/>
    </xf>
    <xf numFmtId="0" fontId="0" fillId="0" borderId="7" xfId="0" applyBorder="1"/>
    <xf numFmtId="0" fontId="3" fillId="3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9" xfId="0" applyBorder="1"/>
    <xf numFmtId="0" fontId="0" fillId="0" borderId="23" xfId="0" applyBorder="1"/>
    <xf numFmtId="0" fontId="40" fillId="15" borderId="0" xfId="0" applyFont="1" applyFill="1" applyAlignment="1">
      <alignment horizontal="left" vertical="top" wrapText="1"/>
    </xf>
    <xf numFmtId="0" fontId="41" fillId="15" borderId="29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0" fillId="0" borderId="26" xfId="0" applyBorder="1"/>
    <xf numFmtId="0" fontId="12" fillId="11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left" vertical="center" wrapText="1"/>
    </xf>
    <xf numFmtId="0" fontId="12" fillId="9" borderId="0" xfId="0" applyFont="1" applyFill="1" applyAlignment="1">
      <alignment horizontal="left" vertical="center" wrapText="1"/>
    </xf>
    <xf numFmtId="0" fontId="19" fillId="12" borderId="4" xfId="0" applyFont="1" applyFill="1" applyBorder="1" applyAlignment="1">
      <alignment horizontal="left" vertical="center" wrapText="1"/>
    </xf>
    <xf numFmtId="0" fontId="13" fillId="9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7" xfId="0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20" borderId="11" xfId="0" applyFill="1" applyBorder="1"/>
    <xf numFmtId="0" fontId="0" fillId="0" borderId="10" xfId="0" applyBorder="1"/>
    <xf numFmtId="0" fontId="0" fillId="0" borderId="24" xfId="0" applyBorder="1" applyAlignment="1">
      <alignment wrapText="1"/>
    </xf>
    <xf numFmtId="0" fontId="0" fillId="0" borderId="6" xfId="0" applyBorder="1"/>
    <xf numFmtId="0" fontId="34" fillId="3" borderId="5" xfId="0" applyFont="1" applyFill="1" applyBorder="1" applyAlignment="1">
      <alignment horizontal="center" vertical="center" wrapText="1"/>
    </xf>
    <xf numFmtId="0" fontId="0" fillId="19" borderId="7" xfId="0" applyFill="1" applyBorder="1"/>
    <xf numFmtId="0" fontId="25" fillId="5" borderId="16" xfId="0" applyFont="1" applyFill="1" applyBorder="1" applyAlignment="1">
      <alignment horizontal="center" vertical="center" wrapText="1"/>
    </xf>
    <xf numFmtId="0" fontId="0" fillId="19" borderId="24" xfId="0" applyFill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1" fillId="17" borderId="17" xfId="0" applyFont="1" applyFill="1" applyBorder="1" applyAlignment="1">
      <alignment horizontal="center" vertical="center" wrapText="1"/>
    </xf>
    <xf numFmtId="0" fontId="0" fillId="23" borderId="24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C62828"/>
      <rgbColor rgb="FF1B5E20"/>
      <rgbColor rgb="FF000080"/>
      <rgbColor rgb="FF808000"/>
      <rgbColor rgb="FF800080"/>
      <rgbColor rgb="FF008080"/>
      <rgbColor rgb="FFD9D9D9"/>
      <rgbColor rgb="FF808080"/>
      <rgbColor rgb="FF9999FF"/>
      <rgbColor rgb="FFBE4B48"/>
      <rgbColor rgb="FFFFF2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E699"/>
      <rgbColor rgb="FFC8E6C9"/>
      <rgbColor rgb="FFF9F9F9"/>
      <rgbColor rgb="FFF8F9FA"/>
      <rgbColor rgb="FFFFCDD2"/>
      <rgbColor rgb="FF2E75B6"/>
      <rgbColor rgb="FF33CCCC"/>
      <rgbColor rgb="FF99CC00"/>
      <rgbColor rgb="FFFFCC00"/>
      <rgbColor rgb="FFFF9900"/>
      <rgbColor rgb="FFFF6600"/>
      <rgbColor rgb="FF595959"/>
      <rgbColor rgb="FF878787"/>
      <rgbColor rgb="FF003366"/>
      <rgbColor rgb="FF2E7D32"/>
      <rgbColor rgb="FF003300"/>
      <rgbColor rgb="FF333300"/>
      <rgbColor rgb="FFB71C1C"/>
      <rgbColor rgb="FFC0504D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ja-JP" altLang="en-US" sz="1800" b="1" strike="noStrike" spc="-1">
                <a:solidFill>
                  <a:srgbClr val="000000"/>
                </a:solidFill>
                <a:latin typeface="Calibri"/>
              </a:rPr>
              <a:t>金融資産残高の推移（万円）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④キャッシュフロー表!$S$7</c:f>
              <c:strCache>
                <c:ptCount val="1"/>
              </c:strCache>
            </c:strRef>
          </c:tx>
          <c:spPr>
            <a:ln w="47520">
              <a:solidFill>
                <a:srgbClr val="BE4B48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④キャッシュフロー表!$C$8:$C$68</c:f>
              <c:numCache>
                <c:formatCode>General</c:formatCode>
                <c:ptCount val="6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  <c:pt idx="51">
                  <c:v>91</c:v>
                </c:pt>
                <c:pt idx="52">
                  <c:v>92</c:v>
                </c:pt>
                <c:pt idx="53">
                  <c:v>93</c:v>
                </c:pt>
                <c:pt idx="54">
                  <c:v>94</c:v>
                </c:pt>
                <c:pt idx="55">
                  <c:v>95</c:v>
                </c:pt>
                <c:pt idx="56">
                  <c:v>96</c:v>
                </c:pt>
                <c:pt idx="57">
                  <c:v>97</c:v>
                </c:pt>
                <c:pt idx="58">
                  <c:v>98</c:v>
                </c:pt>
                <c:pt idx="59">
                  <c:v>99</c:v>
                </c:pt>
                <c:pt idx="60">
                  <c:v>100</c:v>
                </c:pt>
              </c:numCache>
            </c:numRef>
          </c:cat>
          <c:val>
            <c:numRef>
              <c:f>④キャッシュフロー表!$S$8:$S$68</c:f>
              <c:numCache>
                <c:formatCode>#,##0;[Red]\(#,##0\);\-</c:formatCode>
                <c:ptCount val="61"/>
                <c:pt idx="0">
                  <c:v>-4.0199999999999996</c:v>
                </c:pt>
                <c:pt idx="1">
                  <c:v>-58.310099999999991</c:v>
                </c:pt>
                <c:pt idx="2">
                  <c:v>-112.87165049999997</c:v>
                </c:pt>
                <c:pt idx="3">
                  <c:v>-167.70600875249997</c:v>
                </c:pt>
                <c:pt idx="4">
                  <c:v>-222.81453879626244</c:v>
                </c:pt>
                <c:pt idx="5">
                  <c:v>-278.19861149024376</c:v>
                </c:pt>
                <c:pt idx="6">
                  <c:v>-333.85960454769497</c:v>
                </c:pt>
                <c:pt idx="7">
                  <c:v>-510.39890257043339</c:v>
                </c:pt>
                <c:pt idx="8">
                  <c:v>-567.22089708328554</c:v>
                </c:pt>
                <c:pt idx="9">
                  <c:v>-624.32700156870192</c:v>
                </c:pt>
                <c:pt idx="10">
                  <c:v>-530.96863657654535</c:v>
                </c:pt>
                <c:pt idx="11">
                  <c:v>-437.14347975942803</c:v>
                </c:pt>
                <c:pt idx="12">
                  <c:v>-342.84919715822514</c:v>
                </c:pt>
                <c:pt idx="13">
                  <c:v>-248.08344314401623</c:v>
                </c:pt>
                <c:pt idx="14">
                  <c:v>-273.44386035973628</c:v>
                </c:pt>
                <c:pt idx="15">
                  <c:v>-178.33107966153494</c:v>
                </c:pt>
                <c:pt idx="16">
                  <c:v>-384.24273505984257</c:v>
                </c:pt>
                <c:pt idx="17">
                  <c:v>-289.68394873514177</c:v>
                </c:pt>
                <c:pt idx="18">
                  <c:v>-194.65236847881746</c:v>
                </c:pt>
                <c:pt idx="19">
                  <c:v>-99.145630321211542</c:v>
                </c:pt>
                <c:pt idx="20">
                  <c:v>1884.0276415271821</c:v>
                </c:pt>
                <c:pt idx="21">
                  <c:v>1746.5167797348179</c:v>
                </c:pt>
                <c:pt idx="22">
                  <c:v>1728.9183636334917</c:v>
                </c:pt>
                <c:pt idx="23">
                  <c:v>1711.2319554516589</c:v>
                </c:pt>
                <c:pt idx="24">
                  <c:v>1693.457115228917</c:v>
                </c:pt>
                <c:pt idx="25">
                  <c:v>1675.5934008050615</c:v>
                </c:pt>
                <c:pt idx="26">
                  <c:v>1657.6403678090867</c:v>
                </c:pt>
                <c:pt idx="27">
                  <c:v>1639.5975696481319</c:v>
                </c:pt>
                <c:pt idx="28">
                  <c:v>1651.6145574963723</c:v>
                </c:pt>
                <c:pt idx="29">
                  <c:v>1784.2916302838539</c:v>
                </c:pt>
                <c:pt idx="30">
                  <c:v>1682.462088435273</c:v>
                </c:pt>
                <c:pt idx="31">
                  <c:v>1650.4733988774492</c:v>
                </c:pt>
                <c:pt idx="32">
                  <c:v>1618.3247658718362</c:v>
                </c:pt>
                <c:pt idx="33">
                  <c:v>1586.0153897011951</c:v>
                </c:pt>
                <c:pt idx="34">
                  <c:v>1553.5444666497008</c:v>
                </c:pt>
                <c:pt idx="35">
                  <c:v>1400.311188982949</c:v>
                </c:pt>
                <c:pt idx="36">
                  <c:v>1366.9117449278635</c:v>
                </c:pt>
                <c:pt idx="37">
                  <c:v>1333.3453036525027</c:v>
                </c:pt>
                <c:pt idx="38">
                  <c:v>1299.6110301707649</c:v>
                </c:pt>
                <c:pt idx="39">
                  <c:v>1265.7080853216187</c:v>
                </c:pt>
                <c:pt idx="40">
                  <c:v>1231.6356257482266</c:v>
                </c:pt>
                <c:pt idx="41">
                  <c:v>1197.3928038769675</c:v>
                </c:pt>
                <c:pt idx="42">
                  <c:v>1042.3787678963522</c:v>
                </c:pt>
                <c:pt idx="43">
                  <c:v>1007.1896617358339</c:v>
                </c:pt>
                <c:pt idx="44">
                  <c:v>971.82461004451284</c:v>
                </c:pt>
                <c:pt idx="45">
                  <c:v>936.28273309473525</c:v>
                </c:pt>
                <c:pt idx="46">
                  <c:v>900.56314676020884</c:v>
                </c:pt>
                <c:pt idx="47">
                  <c:v>864.66496249400973</c:v>
                </c:pt>
                <c:pt idx="48">
                  <c:v>828.58728730647977</c:v>
                </c:pt>
                <c:pt idx="49">
                  <c:v>671.72922374301208</c:v>
                </c:pt>
                <c:pt idx="50">
                  <c:v>634.68686986172713</c:v>
                </c:pt>
                <c:pt idx="51">
                  <c:v>597.45930421103583</c:v>
                </c:pt>
                <c:pt idx="52">
                  <c:v>560.04560073209097</c:v>
                </c:pt>
                <c:pt idx="53">
                  <c:v>522.44482873575146</c:v>
                </c:pt>
                <c:pt idx="54">
                  <c:v>484.65605287943015</c:v>
                </c:pt>
                <c:pt idx="55">
                  <c:v>346.17833314382727</c:v>
                </c:pt>
                <c:pt idx="56">
                  <c:v>307.50822480954639</c:v>
                </c:pt>
                <c:pt idx="57">
                  <c:v>268.6447659335941</c:v>
                </c:pt>
                <c:pt idx="58">
                  <c:v>229.58698976326207</c:v>
                </c:pt>
                <c:pt idx="59">
                  <c:v>190.33392471207836</c:v>
                </c:pt>
                <c:pt idx="60">
                  <c:v>150.88459433563875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35-44AA-91CA-B6235138B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26346769"/>
        <c:axId val="54442291"/>
      </c:lineChart>
      <c:catAx>
        <c:axId val="263467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ja-JP" altLang="en-US" sz="1000" b="1" strike="noStrike" spc="-1">
                    <a:solidFill>
                      <a:srgbClr val="000000"/>
                    </a:solidFill>
                    <a:latin typeface="Calibri"/>
                  </a:rPr>
                  <a:t>本人年齢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54442291"/>
        <c:crosses val="autoZero"/>
        <c:auto val="1"/>
        <c:lblAlgn val="ctr"/>
        <c:lblOffset val="100"/>
        <c:noMultiLvlLbl val="0"/>
      </c:catAx>
      <c:valAx>
        <c:axId val="5444229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ja-JP" altLang="en-US" sz="1000" b="1" strike="noStrike" spc="-1">
                    <a:solidFill>
                      <a:srgbClr val="000000"/>
                    </a:solidFill>
                    <a:latin typeface="Calibri"/>
                  </a:rPr>
                  <a:t>金融資産残高（万円）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;[Red]\(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26346769"/>
        <c:crosses val="autoZero"/>
        <c:crossBetween val="between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ja-JP" altLang="en-US" sz="1800" b="1" strike="noStrike" spc="-1">
                <a:solidFill>
                  <a:srgbClr val="000000"/>
                </a:solidFill>
                <a:latin typeface="Calibri"/>
              </a:rPr>
              <a:t>年間収支の推移（万円）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④キャッシュフロー表!$R$7</c:f>
              <c:strCache>
                <c:ptCount val="1"/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④キャッシュフロー表!$C$8:$C$68</c:f>
              <c:numCache>
                <c:formatCode>General</c:formatCode>
                <c:ptCount val="6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  <c:pt idx="51">
                  <c:v>91</c:v>
                </c:pt>
                <c:pt idx="52">
                  <c:v>92</c:v>
                </c:pt>
                <c:pt idx="53">
                  <c:v>93</c:v>
                </c:pt>
                <c:pt idx="54">
                  <c:v>94</c:v>
                </c:pt>
                <c:pt idx="55">
                  <c:v>95</c:v>
                </c:pt>
                <c:pt idx="56">
                  <c:v>96</c:v>
                </c:pt>
                <c:pt idx="57">
                  <c:v>97</c:v>
                </c:pt>
                <c:pt idx="58">
                  <c:v>98</c:v>
                </c:pt>
                <c:pt idx="59">
                  <c:v>99</c:v>
                </c:pt>
                <c:pt idx="60">
                  <c:v>100</c:v>
                </c:pt>
              </c:numCache>
            </c:numRef>
          </c:cat>
          <c:val>
            <c:numRef>
              <c:f>④キャッシュフロー表!$R$8:$R$68</c:f>
              <c:numCache>
                <c:formatCode>#,##0;[Red]\(#,##0\);\-</c:formatCode>
                <c:ptCount val="61"/>
                <c:pt idx="0">
                  <c:v>-54</c:v>
                </c:pt>
                <c:pt idx="1">
                  <c:v>-54</c:v>
                </c:pt>
                <c:pt idx="2">
                  <c:v>-54</c:v>
                </c:pt>
                <c:pt idx="3">
                  <c:v>-54</c:v>
                </c:pt>
                <c:pt idx="4">
                  <c:v>-54</c:v>
                </c:pt>
                <c:pt idx="5">
                  <c:v>-54</c:v>
                </c:pt>
                <c:pt idx="6">
                  <c:v>-54</c:v>
                </c:pt>
                <c:pt idx="7">
                  <c:v>-174</c:v>
                </c:pt>
                <c:pt idx="8">
                  <c:v>-54</c:v>
                </c:pt>
                <c:pt idx="9">
                  <c:v>-54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-24</c:v>
                </c:pt>
                <c:pt idx="15">
                  <c:v>96</c:v>
                </c:pt>
                <c:pt idx="16">
                  <c:v>-204</c:v>
                </c:pt>
                <c:pt idx="17">
                  <c:v>96</c:v>
                </c:pt>
                <c:pt idx="18">
                  <c:v>96</c:v>
                </c:pt>
                <c:pt idx="19">
                  <c:v>96</c:v>
                </c:pt>
                <c:pt idx="20">
                  <c:v>1973.8</c:v>
                </c:pt>
                <c:pt idx="21">
                  <c:v>-146.19999999999999</c:v>
                </c:pt>
                <c:pt idx="22">
                  <c:v>-26.199999999999989</c:v>
                </c:pt>
                <c:pt idx="23">
                  <c:v>-26.199999999999989</c:v>
                </c:pt>
                <c:pt idx="24">
                  <c:v>-26.199999999999989</c:v>
                </c:pt>
                <c:pt idx="25">
                  <c:v>-26.199999999999989</c:v>
                </c:pt>
                <c:pt idx="26">
                  <c:v>-26.199999999999989</c:v>
                </c:pt>
                <c:pt idx="27">
                  <c:v>-26.199999999999989</c:v>
                </c:pt>
                <c:pt idx="28">
                  <c:v>3.8000000000000114</c:v>
                </c:pt>
                <c:pt idx="29">
                  <c:v>123.80000000000001</c:v>
                </c:pt>
                <c:pt idx="30">
                  <c:v>-110.19999999999999</c:v>
                </c:pt>
                <c:pt idx="31">
                  <c:v>-40.199999999999989</c:v>
                </c:pt>
                <c:pt idx="32">
                  <c:v>-40.199999999999989</c:v>
                </c:pt>
                <c:pt idx="33">
                  <c:v>-40.199999999999989</c:v>
                </c:pt>
                <c:pt idx="34">
                  <c:v>-40.199999999999989</c:v>
                </c:pt>
                <c:pt idx="35">
                  <c:v>-160.19999999999999</c:v>
                </c:pt>
                <c:pt idx="36">
                  <c:v>-40.199999999999989</c:v>
                </c:pt>
                <c:pt idx="37">
                  <c:v>-40.199999999999989</c:v>
                </c:pt>
                <c:pt idx="38">
                  <c:v>-40.199999999999989</c:v>
                </c:pt>
                <c:pt idx="39">
                  <c:v>-40.199999999999989</c:v>
                </c:pt>
                <c:pt idx="40">
                  <c:v>-40.199999999999989</c:v>
                </c:pt>
                <c:pt idx="41">
                  <c:v>-40.199999999999989</c:v>
                </c:pt>
                <c:pt idx="42">
                  <c:v>-160.19999999999999</c:v>
                </c:pt>
                <c:pt idx="43">
                  <c:v>-40.199999999999989</c:v>
                </c:pt>
                <c:pt idx="44">
                  <c:v>-40.199999999999989</c:v>
                </c:pt>
                <c:pt idx="45">
                  <c:v>-40.199999999999989</c:v>
                </c:pt>
                <c:pt idx="46">
                  <c:v>-40.199999999999989</c:v>
                </c:pt>
                <c:pt idx="47">
                  <c:v>-40.199999999999989</c:v>
                </c:pt>
                <c:pt idx="48">
                  <c:v>-40.199999999999989</c:v>
                </c:pt>
                <c:pt idx="49">
                  <c:v>-160.19999999999999</c:v>
                </c:pt>
                <c:pt idx="50">
                  <c:v>-40.199999999999989</c:v>
                </c:pt>
                <c:pt idx="51">
                  <c:v>-40.199999999999989</c:v>
                </c:pt>
                <c:pt idx="52">
                  <c:v>-40.199999999999989</c:v>
                </c:pt>
                <c:pt idx="53">
                  <c:v>-40.199999999999989</c:v>
                </c:pt>
                <c:pt idx="54">
                  <c:v>-40.199999999999989</c:v>
                </c:pt>
                <c:pt idx="55">
                  <c:v>-140.19999999999999</c:v>
                </c:pt>
                <c:pt idx="56">
                  <c:v>-40.199999999999989</c:v>
                </c:pt>
                <c:pt idx="57">
                  <c:v>-40.199999999999989</c:v>
                </c:pt>
                <c:pt idx="58">
                  <c:v>-40.199999999999989</c:v>
                </c:pt>
                <c:pt idx="59">
                  <c:v>-40.199999999999989</c:v>
                </c:pt>
                <c:pt idx="60">
                  <c:v>-40.199999999999989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2-434D-8C6A-A93EE2E8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80227"/>
        <c:axId val="95608132"/>
      </c:barChart>
      <c:catAx>
        <c:axId val="512802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ja-JP" altLang="en-US" sz="1000" b="1" strike="noStrike" spc="-1">
                    <a:solidFill>
                      <a:srgbClr val="000000"/>
                    </a:solidFill>
                    <a:latin typeface="Calibri"/>
                  </a:rPr>
                  <a:t>本人年齢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95608132"/>
        <c:crosses val="autoZero"/>
        <c:auto val="1"/>
        <c:lblAlgn val="ctr"/>
        <c:lblOffset val="100"/>
        <c:noMultiLvlLbl val="0"/>
      </c:catAx>
      <c:valAx>
        <c:axId val="9560813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ja-JP" altLang="en-US" sz="1000" b="1" strike="noStrike" spc="-1">
                    <a:solidFill>
                      <a:srgbClr val="000000"/>
                    </a:solidFill>
                    <a:latin typeface="Calibri"/>
                  </a:rPr>
                  <a:t>年間収支（万円）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;[Red]\(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51280227"/>
        <c:crosses val="autoZero"/>
        <c:crossBetween val="between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8</xdr:col>
      <xdr:colOff>441110</xdr:colOff>
      <xdr:row>45</xdr:row>
      <xdr:rowOff>128880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8</xdr:col>
      <xdr:colOff>441110</xdr:colOff>
      <xdr:row>65</xdr:row>
      <xdr:rowOff>170640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4"/>
  <sheetViews>
    <sheetView topLeftCell="A26" zoomScaleNormal="100" workbookViewId="0">
      <selection activeCell="E32" sqref="E32"/>
    </sheetView>
  </sheetViews>
  <sheetFormatPr defaultColWidth="8.6328125" defaultRowHeight="14.5"/>
  <cols>
    <col min="1" max="1" width="4" customWidth="1"/>
    <col min="2" max="2" width="11.90625" customWidth="1"/>
    <col min="3" max="3" width="77" customWidth="1"/>
  </cols>
  <sheetData>
    <row r="1" spans="2:7" ht="50" customHeight="1">
      <c r="B1" s="81" t="s">
        <v>202</v>
      </c>
      <c r="C1" s="82"/>
      <c r="D1" s="60"/>
      <c r="E1" s="61"/>
      <c r="F1" s="61"/>
      <c r="G1" s="61"/>
    </row>
    <row r="2" spans="2:7" ht="49.5" customHeight="1">
      <c r="B2" s="62" t="s">
        <v>0</v>
      </c>
      <c r="C2" s="61"/>
      <c r="D2" s="61"/>
      <c r="E2" s="61"/>
      <c r="F2" s="61"/>
      <c r="G2" s="61"/>
    </row>
    <row r="3" spans="2:7" ht="27.75" customHeight="1">
      <c r="B3" s="65" t="s">
        <v>1</v>
      </c>
      <c r="C3" s="61"/>
      <c r="D3" s="61"/>
      <c r="E3" s="61"/>
      <c r="F3" s="61"/>
      <c r="G3" s="61"/>
    </row>
    <row r="4" spans="2:7" ht="20.5" customHeight="1">
      <c r="B4" s="44" t="s">
        <v>2</v>
      </c>
      <c r="C4" s="46">
        <v>50</v>
      </c>
    </row>
    <row r="5" spans="2:7" ht="20.5" customHeight="1">
      <c r="B5" s="44" t="s">
        <v>3</v>
      </c>
      <c r="C5" s="46">
        <v>48</v>
      </c>
    </row>
    <row r="6" spans="2:7" ht="21" customHeight="1">
      <c r="B6" s="45" t="s">
        <v>4</v>
      </c>
      <c r="C6" s="47" t="s">
        <v>5</v>
      </c>
    </row>
    <row r="7" spans="2:7" ht="21" customHeight="1">
      <c r="B7" s="43"/>
    </row>
    <row r="8" spans="2:7" ht="24" customHeight="1">
      <c r="B8" s="77" t="s">
        <v>6</v>
      </c>
      <c r="C8" s="61"/>
    </row>
    <row r="9" spans="2:7" ht="21.75" customHeight="1">
      <c r="B9" s="78" t="s">
        <v>7</v>
      </c>
      <c r="C9" s="79"/>
    </row>
    <row r="10" spans="2:7" ht="21.75" customHeight="1">
      <c r="B10" s="80"/>
      <c r="C10" s="61"/>
    </row>
    <row r="11" spans="2:7" ht="21.75" customHeight="1">
      <c r="B11" s="80"/>
      <c r="C11" s="61"/>
    </row>
    <row r="12" spans="2:7" ht="21.75" customHeight="1">
      <c r="B12" s="80"/>
      <c r="C12" s="61"/>
    </row>
    <row r="13" spans="2:7" ht="21.75" customHeight="1">
      <c r="B13" s="80"/>
      <c r="C13" s="61"/>
    </row>
    <row r="14" spans="2:7" ht="8" customHeight="1">
      <c r="B14" s="80"/>
      <c r="C14" s="61"/>
    </row>
    <row r="15" spans="2:7" ht="5.5" hidden="1" customHeight="1">
      <c r="B15" s="80"/>
      <c r="C15" s="61"/>
    </row>
    <row r="16" spans="2:7" ht="5.5" hidden="1" customHeight="1">
      <c r="B16" s="80"/>
      <c r="C16" s="61"/>
    </row>
    <row r="17" spans="2:3" ht="1" customHeight="1"/>
    <row r="18" spans="2:3" ht="24" customHeight="1">
      <c r="B18" s="77" t="s">
        <v>8</v>
      </c>
      <c r="C18" s="61"/>
    </row>
    <row r="19" spans="2:3" ht="27.75" customHeight="1">
      <c r="B19" s="1" t="s">
        <v>9</v>
      </c>
      <c r="C19" s="59" t="s">
        <v>10</v>
      </c>
    </row>
    <row r="20" spans="2:3" ht="27.75" customHeight="1">
      <c r="B20" s="1" t="s">
        <v>11</v>
      </c>
      <c r="C20" s="59" t="s">
        <v>12</v>
      </c>
    </row>
    <row r="21" spans="2:3" ht="27.75" customHeight="1">
      <c r="B21" s="1" t="s">
        <v>13</v>
      </c>
      <c r="C21" s="59" t="s">
        <v>14</v>
      </c>
    </row>
    <row r="22" spans="2:3" ht="27.75" customHeight="1">
      <c r="B22" s="1" t="s">
        <v>15</v>
      </c>
      <c r="C22" s="59" t="s">
        <v>16</v>
      </c>
    </row>
    <row r="23" spans="2:3" ht="27.75" customHeight="1">
      <c r="B23" s="1" t="s">
        <v>17</v>
      </c>
      <c r="C23" s="59" t="s">
        <v>18</v>
      </c>
    </row>
    <row r="25" spans="2:3" ht="24" customHeight="1">
      <c r="B25" s="63" t="s">
        <v>19</v>
      </c>
      <c r="C25" s="64"/>
    </row>
    <row r="26" spans="2:3" ht="17" customHeight="1">
      <c r="B26" s="68" t="s">
        <v>20</v>
      </c>
      <c r="C26" s="69"/>
    </row>
    <row r="27" spans="2:3" ht="17" customHeight="1">
      <c r="B27" s="70"/>
      <c r="C27" s="71"/>
    </row>
    <row r="28" spans="2:3" ht="17" customHeight="1">
      <c r="B28" s="70"/>
      <c r="C28" s="71"/>
    </row>
    <row r="29" spans="2:3" ht="17" customHeight="1">
      <c r="B29" s="70"/>
      <c r="C29" s="71"/>
    </row>
    <row r="30" spans="2:3" ht="17" customHeight="1">
      <c r="B30" s="72"/>
      <c r="C30" s="73"/>
    </row>
    <row r="31" spans="2:3" ht="63.5" customHeight="1">
      <c r="B31" s="75" t="s">
        <v>21</v>
      </c>
      <c r="C31" s="76"/>
    </row>
    <row r="32" spans="2:3" ht="95" customHeight="1">
      <c r="B32" s="74" t="s">
        <v>203</v>
      </c>
      <c r="C32" s="73"/>
    </row>
    <row r="33" spans="2:3" ht="8.5" customHeight="1"/>
    <row r="34" spans="2:3" ht="37" customHeight="1">
      <c r="B34" s="66" t="s">
        <v>22</v>
      </c>
      <c r="C34" s="67"/>
    </row>
  </sheetData>
  <mergeCells count="12">
    <mergeCell ref="D1:G3"/>
    <mergeCell ref="B2:C2"/>
    <mergeCell ref="B25:C25"/>
    <mergeCell ref="B3:C3"/>
    <mergeCell ref="B34:C34"/>
    <mergeCell ref="B26:C30"/>
    <mergeCell ref="B32:C32"/>
    <mergeCell ref="B31:C31"/>
    <mergeCell ref="B18:C18"/>
    <mergeCell ref="B8:C8"/>
    <mergeCell ref="B9:C16"/>
    <mergeCell ref="B1:C1"/>
  </mergeCells>
  <phoneticPr fontId="26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"/>
  <sheetViews>
    <sheetView topLeftCell="A9" zoomScaleNormal="100" workbookViewId="0">
      <selection activeCell="E5" sqref="E5"/>
    </sheetView>
  </sheetViews>
  <sheetFormatPr defaultColWidth="8.6328125" defaultRowHeight="14.5"/>
  <cols>
    <col min="1" max="1" width="4" customWidth="1"/>
    <col min="2" max="2" width="28" customWidth="1"/>
    <col min="3" max="3" width="50" customWidth="1"/>
    <col min="4" max="4" width="10" customWidth="1"/>
    <col min="5" max="5" width="14" customWidth="1"/>
    <col min="6" max="6" width="3" customWidth="1"/>
  </cols>
  <sheetData>
    <row r="1" spans="1:6" ht="31.5" customHeight="1">
      <c r="A1" s="84" t="s">
        <v>23</v>
      </c>
      <c r="B1" s="61"/>
      <c r="C1" s="61"/>
      <c r="D1" s="61"/>
      <c r="E1" s="61"/>
    </row>
    <row r="2" spans="1:6" ht="21.75" customHeight="1">
      <c r="A2" s="83" t="s">
        <v>24</v>
      </c>
      <c r="B2" s="61"/>
      <c r="C2" s="61"/>
      <c r="D2" s="61"/>
      <c r="E2" s="61"/>
    </row>
    <row r="3" spans="1:6" ht="31.5" customHeight="1">
      <c r="A3" s="2" t="s">
        <v>25</v>
      </c>
      <c r="B3" s="3" t="s">
        <v>26</v>
      </c>
      <c r="C3" s="3" t="s">
        <v>27</v>
      </c>
      <c r="D3" s="3" t="s">
        <v>28</v>
      </c>
      <c r="E3" s="3" t="s">
        <v>29</v>
      </c>
    </row>
    <row r="4" spans="1:6" ht="75" customHeight="1">
      <c r="A4" s="4">
        <v>1</v>
      </c>
      <c r="B4" s="42" t="s">
        <v>30</v>
      </c>
      <c r="C4" s="6" t="s">
        <v>31</v>
      </c>
      <c r="D4" s="7">
        <v>3</v>
      </c>
      <c r="E4" s="8">
        <f>IF(D4="","",CHOOSE(D4,25,30,40,50,58))</f>
        <v>40</v>
      </c>
      <c r="F4" s="48"/>
    </row>
    <row r="5" spans="1:6" ht="75" customHeight="1">
      <c r="A5" s="4">
        <v>2</v>
      </c>
      <c r="B5" s="5" t="s">
        <v>32</v>
      </c>
      <c r="C5" s="6" t="s">
        <v>33</v>
      </c>
      <c r="D5" s="7">
        <v>1</v>
      </c>
      <c r="E5" s="8">
        <f>IF(D5="","",CHOOSE(D5,60,63,65,70,75))</f>
        <v>60</v>
      </c>
    </row>
    <row r="6" spans="1:6" ht="75" customHeight="1">
      <c r="A6" s="4">
        <v>3</v>
      </c>
      <c r="B6" s="5" t="s">
        <v>34</v>
      </c>
      <c r="C6" s="6" t="s">
        <v>35</v>
      </c>
      <c r="D6" s="7">
        <v>3</v>
      </c>
      <c r="E6" s="9">
        <f>IF(D6="","",CHOOSE(D6,0,0,-3,-5,3))</f>
        <v>-3</v>
      </c>
    </row>
    <row r="7" spans="1:6" ht="75" customHeight="1">
      <c r="A7" s="4">
        <v>4</v>
      </c>
      <c r="B7" s="5" t="s">
        <v>36</v>
      </c>
      <c r="C7" s="6" t="s">
        <v>37</v>
      </c>
      <c r="D7" s="7">
        <v>4</v>
      </c>
      <c r="E7" s="10">
        <f>IF(D7="","",CHOOSE(D7,0,1,2,3,4))</f>
        <v>3</v>
      </c>
    </row>
    <row r="8" spans="1:6" ht="75" customHeight="1">
      <c r="A8" s="4">
        <v>5</v>
      </c>
      <c r="B8" s="5" t="s">
        <v>38</v>
      </c>
      <c r="C8" s="6" t="s">
        <v>39</v>
      </c>
      <c r="D8" s="7">
        <v>3</v>
      </c>
      <c r="E8" s="8">
        <f>IF(D8="","",CHOOSE(D8,99,3,9,15,20))</f>
        <v>9</v>
      </c>
    </row>
    <row r="9" spans="1:6" ht="75" customHeight="1">
      <c r="A9" s="4">
        <v>6</v>
      </c>
      <c r="B9" s="5" t="s">
        <v>40</v>
      </c>
      <c r="C9" s="6" t="s">
        <v>41</v>
      </c>
      <c r="D9" s="7">
        <v>1</v>
      </c>
      <c r="E9" s="11">
        <f>IF(D9="","",CHOOSE(D9,50,300,1000,2200,4000))</f>
        <v>50</v>
      </c>
    </row>
    <row r="10" spans="1:6" ht="75" customHeight="1">
      <c r="A10" s="4">
        <v>7</v>
      </c>
      <c r="B10" s="5" t="s">
        <v>42</v>
      </c>
      <c r="C10" s="6" t="s">
        <v>43</v>
      </c>
      <c r="D10" s="7">
        <v>2</v>
      </c>
      <c r="E10" s="12">
        <f>IF(D10="","",CHOOSE(D10,0,0.005,0.015,0.03,0.05))</f>
        <v>5.0000000000000001E-3</v>
      </c>
    </row>
  </sheetData>
  <mergeCells count="2">
    <mergeCell ref="A2:E2"/>
    <mergeCell ref="A1:E1"/>
  </mergeCells>
  <phoneticPr fontId="26"/>
  <dataValidations count="1">
    <dataValidation type="whole" allowBlank="1" showErrorMessage="1" errorTitle="入力エラー" error="1〜5の整数を入力してください" sqref="D4:D10" xr:uid="{00000000-0002-0000-0100-000000000000}">
      <formula1>1</formula1>
      <formula2>5</formula2>
    </dataValidation>
  </dataValidations>
  <pageMargins left="0.75" right="0.75" top="1" bottom="1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9"/>
  <sheetViews>
    <sheetView topLeftCell="A38" zoomScaleNormal="100" workbookViewId="0">
      <selection activeCell="E38" sqref="E38"/>
    </sheetView>
  </sheetViews>
  <sheetFormatPr defaultColWidth="8.6328125" defaultRowHeight="14.5"/>
  <cols>
    <col min="1" max="1" width="4" customWidth="1"/>
    <col min="2" max="2" width="24" customWidth="1"/>
    <col min="3" max="3" width="50" customWidth="1"/>
    <col min="4" max="4" width="10" customWidth="1"/>
    <col min="5" max="5" width="14" customWidth="1"/>
    <col min="6" max="6" width="2.81640625" customWidth="1"/>
  </cols>
  <sheetData>
    <row r="1" spans="1:5" ht="31.5" customHeight="1">
      <c r="A1" s="84" t="s">
        <v>44</v>
      </c>
      <c r="B1" s="61"/>
      <c r="C1" s="61"/>
      <c r="D1" s="61"/>
      <c r="E1" s="61"/>
    </row>
    <row r="2" spans="1:5" ht="21.75" customHeight="1">
      <c r="A2" s="83" t="s">
        <v>45</v>
      </c>
      <c r="B2" s="61"/>
      <c r="C2" s="61"/>
      <c r="D2" s="61"/>
      <c r="E2" s="61"/>
    </row>
    <row r="3" spans="1:5" ht="25.5" customHeight="1">
      <c r="A3" s="89" t="s">
        <v>46</v>
      </c>
      <c r="B3" s="61"/>
      <c r="C3" s="61"/>
      <c r="D3" s="61"/>
      <c r="E3" s="61"/>
    </row>
    <row r="4" spans="1:5" ht="31.5" customHeight="1">
      <c r="A4" s="2" t="s">
        <v>25</v>
      </c>
      <c r="B4" s="3" t="s">
        <v>26</v>
      </c>
      <c r="C4" s="3" t="s">
        <v>27</v>
      </c>
      <c r="D4" s="3" t="s">
        <v>28</v>
      </c>
      <c r="E4" s="3" t="s">
        <v>47</v>
      </c>
    </row>
    <row r="5" spans="1:5" ht="78" customHeight="1">
      <c r="A5" s="4">
        <v>1</v>
      </c>
      <c r="B5" s="5" t="s">
        <v>48</v>
      </c>
      <c r="C5" s="6" t="s">
        <v>49</v>
      </c>
      <c r="D5" s="7">
        <v>3</v>
      </c>
      <c r="E5" s="13">
        <f>IF(D5="",0,CHOOSE(D5,8,15,25,37,55))</f>
        <v>25</v>
      </c>
    </row>
    <row r="6" spans="1:5" ht="78" customHeight="1">
      <c r="A6" s="4">
        <v>2</v>
      </c>
      <c r="B6" s="5" t="s">
        <v>50</v>
      </c>
      <c r="C6" s="6" t="s">
        <v>51</v>
      </c>
      <c r="D6" s="7">
        <v>3</v>
      </c>
      <c r="E6" s="13">
        <f>IF(D6="",0,CHOOSE(D6,0,5,10,20,30))</f>
        <v>10</v>
      </c>
    </row>
    <row r="7" spans="1:5" ht="78" customHeight="1">
      <c r="A7" s="4">
        <v>3</v>
      </c>
      <c r="B7" s="5" t="s">
        <v>52</v>
      </c>
      <c r="C7" s="6" t="s">
        <v>53</v>
      </c>
      <c r="D7" s="7">
        <v>1</v>
      </c>
      <c r="E7" s="13">
        <f>IF(D7="",0,CHOOSE(D7,0,5,15,22,30))</f>
        <v>0</v>
      </c>
    </row>
    <row r="8" spans="1:5" ht="78" customHeight="1">
      <c r="A8" s="4">
        <v>4</v>
      </c>
      <c r="B8" s="5" t="s">
        <v>54</v>
      </c>
      <c r="C8" s="6" t="s">
        <v>55</v>
      </c>
      <c r="D8" s="7">
        <v>3</v>
      </c>
      <c r="E8" s="13">
        <f>IF(D8="",0,CHOOSE(D8,0,1,2,3,4))</f>
        <v>2</v>
      </c>
    </row>
    <row r="9" spans="1:5" ht="78" customHeight="1">
      <c r="A9" s="4">
        <v>5</v>
      </c>
      <c r="B9" s="5" t="s">
        <v>56</v>
      </c>
      <c r="C9" s="6" t="s">
        <v>57</v>
      </c>
      <c r="D9" s="7">
        <v>1</v>
      </c>
      <c r="E9" s="13">
        <f>IF(D9="",0,CHOOSE(D9,0,1,3,5,10))</f>
        <v>0</v>
      </c>
    </row>
    <row r="10" spans="1:5" ht="25.5" customHeight="1">
      <c r="A10" s="88" t="s">
        <v>58</v>
      </c>
      <c r="B10" s="61"/>
      <c r="C10" s="61"/>
      <c r="D10" s="61"/>
      <c r="E10" s="14">
        <f>SUM(E5:E9)</f>
        <v>37</v>
      </c>
    </row>
    <row r="12" spans="1:5" ht="25.5" customHeight="1">
      <c r="A12" s="90" t="s">
        <v>59</v>
      </c>
      <c r="B12" s="61"/>
      <c r="C12" s="61"/>
      <c r="D12" s="61"/>
      <c r="E12" s="61"/>
    </row>
    <row r="13" spans="1:5" ht="31.5" customHeight="1">
      <c r="A13" s="2" t="s">
        <v>25</v>
      </c>
      <c r="B13" s="3" t="s">
        <v>26</v>
      </c>
      <c r="C13" s="3" t="s">
        <v>27</v>
      </c>
      <c r="D13" s="3" t="s">
        <v>28</v>
      </c>
      <c r="E13" s="3" t="s">
        <v>47</v>
      </c>
    </row>
    <row r="14" spans="1:5" ht="78" customHeight="1">
      <c r="A14" s="4">
        <v>1</v>
      </c>
      <c r="B14" s="5" t="s">
        <v>60</v>
      </c>
      <c r="C14" s="6" t="s">
        <v>61</v>
      </c>
      <c r="D14" s="7">
        <v>4</v>
      </c>
      <c r="E14" s="13">
        <f>IF(D14="",0,CHOOSE(D14,3,5,7,10,15))</f>
        <v>10</v>
      </c>
    </row>
    <row r="15" spans="1:5" ht="78" customHeight="1">
      <c r="A15" s="4">
        <v>2</v>
      </c>
      <c r="B15" s="5" t="s">
        <v>62</v>
      </c>
      <c r="C15" s="6" t="s">
        <v>63</v>
      </c>
      <c r="D15" s="7">
        <v>3</v>
      </c>
      <c r="E15" s="13">
        <f>IF(D15="",0,CHOOSE(D15,0,5,8,12,18))</f>
        <v>8</v>
      </c>
    </row>
    <row r="16" spans="1:5" ht="78" customHeight="1">
      <c r="A16" s="4">
        <v>3</v>
      </c>
      <c r="B16" s="5" t="s">
        <v>64</v>
      </c>
      <c r="C16" s="6" t="s">
        <v>65</v>
      </c>
      <c r="D16" s="7">
        <v>4</v>
      </c>
      <c r="E16" s="13">
        <f>IF(D16="",0,CHOOSE(D16,1,1.5,2,3,4))</f>
        <v>3</v>
      </c>
    </row>
    <row r="17" spans="1:5" ht="78" customHeight="1">
      <c r="A17" s="4">
        <v>4</v>
      </c>
      <c r="B17" s="5" t="s">
        <v>66</v>
      </c>
      <c r="C17" s="6" t="s">
        <v>67</v>
      </c>
      <c r="D17" s="7">
        <v>1</v>
      </c>
      <c r="E17" s="13">
        <f>IF(D17="",0,CHOOSE(D17,0.5,1,2,3,4))</f>
        <v>0.5</v>
      </c>
    </row>
    <row r="18" spans="1:5" ht="78" customHeight="1">
      <c r="A18" s="4">
        <v>5</v>
      </c>
      <c r="B18" s="5" t="s">
        <v>68</v>
      </c>
      <c r="C18" s="6" t="s">
        <v>69</v>
      </c>
      <c r="D18" s="7">
        <v>1</v>
      </c>
      <c r="E18" s="13">
        <f>IF(D18="",0,CHOOSE(D18,0.5,1,2,3,5))</f>
        <v>0.5</v>
      </c>
    </row>
    <row r="19" spans="1:5" ht="78" customHeight="1">
      <c r="A19" s="4">
        <v>6</v>
      </c>
      <c r="B19" s="5" t="s">
        <v>70</v>
      </c>
      <c r="C19" s="6" t="s">
        <v>71</v>
      </c>
      <c r="D19" s="7">
        <v>1</v>
      </c>
      <c r="E19" s="13">
        <f>IF(D19="",0,CHOOSE(D19,0,1,3,6,10))</f>
        <v>0</v>
      </c>
    </row>
    <row r="20" spans="1:5" ht="78" customHeight="1">
      <c r="A20" s="4">
        <v>7</v>
      </c>
      <c r="B20" s="5" t="s">
        <v>72</v>
      </c>
      <c r="C20" s="6" t="s">
        <v>73</v>
      </c>
      <c r="D20" s="7">
        <v>1</v>
      </c>
      <c r="E20" s="13">
        <f>IF(D20="",0,CHOOSE(D20,0.5,1,2,4,6))</f>
        <v>0.5</v>
      </c>
    </row>
    <row r="21" spans="1:5" ht="78" customHeight="1">
      <c r="A21" s="4">
        <v>8</v>
      </c>
      <c r="B21" s="5" t="s">
        <v>74</v>
      </c>
      <c r="C21" s="6" t="s">
        <v>75</v>
      </c>
      <c r="D21" s="7">
        <v>2</v>
      </c>
      <c r="E21" s="13">
        <f>IF(D21="",0,CHOOSE(D21,0,0.5,1,2,3))</f>
        <v>0.5</v>
      </c>
    </row>
    <row r="22" spans="1:5" ht="78" customHeight="1">
      <c r="A22" s="4">
        <v>9</v>
      </c>
      <c r="B22" s="5" t="s">
        <v>76</v>
      </c>
      <c r="C22" s="6" t="s">
        <v>69</v>
      </c>
      <c r="D22" s="7">
        <v>1</v>
      </c>
      <c r="E22" s="13">
        <f>IF(D22="",0,CHOOSE(D22,0.5,1,2,3,5))</f>
        <v>0.5</v>
      </c>
    </row>
    <row r="23" spans="1:5" ht="78" customHeight="1">
      <c r="A23" s="4">
        <v>10</v>
      </c>
      <c r="B23" s="5" t="s">
        <v>77</v>
      </c>
      <c r="C23" s="6" t="s">
        <v>78</v>
      </c>
      <c r="D23" s="7">
        <v>2</v>
      </c>
      <c r="E23" s="13">
        <f>IF(D23="",0,CHOOSE(D23,0.5,1,3,5,8))</f>
        <v>1</v>
      </c>
    </row>
    <row r="24" spans="1:5" ht="78" customHeight="1">
      <c r="A24" s="4">
        <v>11</v>
      </c>
      <c r="B24" s="5" t="s">
        <v>79</v>
      </c>
      <c r="C24" s="6" t="s">
        <v>80</v>
      </c>
      <c r="D24" s="7">
        <v>2</v>
      </c>
      <c r="E24" s="13">
        <f>IF(D24="",0,CHOOSE(D24,0,0.5,1,2,3))</f>
        <v>0.5</v>
      </c>
    </row>
    <row r="25" spans="1:5" ht="78" customHeight="1">
      <c r="A25" s="4">
        <v>12</v>
      </c>
      <c r="B25" s="5" t="s">
        <v>81</v>
      </c>
      <c r="C25" s="6" t="s">
        <v>57</v>
      </c>
      <c r="D25" s="7">
        <v>1</v>
      </c>
      <c r="E25" s="13">
        <f>IF(D25="",0,CHOOSE(D25,0,1,3,5,10))</f>
        <v>0</v>
      </c>
    </row>
    <row r="26" spans="1:5" ht="78" customHeight="1">
      <c r="A26" s="4">
        <v>13</v>
      </c>
      <c r="B26" s="5" t="s">
        <v>82</v>
      </c>
      <c r="C26" s="6" t="s">
        <v>83</v>
      </c>
      <c r="D26" s="7">
        <v>2</v>
      </c>
      <c r="E26" s="13">
        <f>IF(D26="",0,CHOOSE(D26,0,1,3,5,8))</f>
        <v>1</v>
      </c>
    </row>
    <row r="27" spans="1:5" ht="78" customHeight="1">
      <c r="A27" s="4">
        <v>14</v>
      </c>
      <c r="B27" s="5" t="s">
        <v>84</v>
      </c>
      <c r="C27" s="6" t="s">
        <v>57</v>
      </c>
      <c r="D27" s="7">
        <v>1</v>
      </c>
      <c r="E27" s="13">
        <f>IF(D27="",0,CHOOSE(D27,0,1,3,5,10))</f>
        <v>0</v>
      </c>
    </row>
    <row r="28" spans="1:5" ht="78" customHeight="1">
      <c r="A28" s="4">
        <v>15</v>
      </c>
      <c r="B28" s="5" t="s">
        <v>85</v>
      </c>
      <c r="C28" s="6" t="s">
        <v>69</v>
      </c>
      <c r="D28" s="7">
        <v>2</v>
      </c>
      <c r="E28" s="13">
        <f>IF(D28="",0,CHOOSE(D28,0.5,1,2,3,5))</f>
        <v>1</v>
      </c>
    </row>
    <row r="29" spans="1:5" ht="25.5" customHeight="1">
      <c r="A29" s="92" t="s">
        <v>86</v>
      </c>
      <c r="B29" s="61"/>
      <c r="C29" s="61"/>
      <c r="D29" s="61"/>
      <c r="E29" s="15">
        <f>SUM(E14:E28)</f>
        <v>27</v>
      </c>
    </row>
    <row r="31" spans="1:5" ht="25.5" customHeight="1">
      <c r="A31" s="87" t="s">
        <v>87</v>
      </c>
      <c r="B31" s="61"/>
      <c r="C31" s="61"/>
      <c r="D31" s="61"/>
      <c r="E31" s="61"/>
    </row>
    <row r="32" spans="1:5" ht="25.5" customHeight="1">
      <c r="A32" s="85" t="s">
        <v>88</v>
      </c>
      <c r="B32" s="86"/>
      <c r="C32" s="86"/>
      <c r="D32" s="86"/>
      <c r="E32" s="16">
        <f>②相談時家計表!$E$10-②相談時家計表!$E$29</f>
        <v>10</v>
      </c>
    </row>
    <row r="33" spans="1:5" ht="25.5" customHeight="1">
      <c r="A33" s="85" t="s">
        <v>89</v>
      </c>
      <c r="B33" s="86"/>
      <c r="C33" s="86"/>
      <c r="D33" s="86"/>
      <c r="E33" s="17">
        <f>②相談時家計表!$E$32*12</f>
        <v>120</v>
      </c>
    </row>
    <row r="35" spans="1:5" ht="25.5" customHeight="1">
      <c r="A35" s="87" t="s">
        <v>90</v>
      </c>
      <c r="B35" s="61"/>
      <c r="C35" s="61"/>
      <c r="D35" s="61"/>
      <c r="E35" s="61"/>
    </row>
    <row r="36" spans="1:5" ht="31.5" customHeight="1">
      <c r="A36" s="2" t="s">
        <v>25</v>
      </c>
      <c r="B36" s="3" t="s">
        <v>26</v>
      </c>
      <c r="C36" s="3" t="s">
        <v>27</v>
      </c>
      <c r="D36" s="3" t="s">
        <v>28</v>
      </c>
      <c r="E36" s="3" t="s">
        <v>91</v>
      </c>
    </row>
    <row r="37" spans="1:5" ht="78" customHeight="1">
      <c r="A37" s="4">
        <v>1</v>
      </c>
      <c r="B37" s="5" t="s">
        <v>92</v>
      </c>
      <c r="C37" s="6" t="s">
        <v>93</v>
      </c>
      <c r="D37" s="7">
        <v>1</v>
      </c>
      <c r="E37" s="13">
        <f>IF(D37="",0,CHOOSE(D37,0,5,20,60,150))</f>
        <v>0</v>
      </c>
    </row>
    <row r="38" spans="1:5" ht="78" customHeight="1">
      <c r="A38" s="4">
        <v>2</v>
      </c>
      <c r="B38" s="5" t="s">
        <v>94</v>
      </c>
      <c r="C38" s="6" t="s">
        <v>95</v>
      </c>
      <c r="D38" s="7">
        <v>2</v>
      </c>
      <c r="E38" s="13">
        <f>IF(D38="",0,CHOOSE(D38,0,25,120,350,700))</f>
        <v>25</v>
      </c>
    </row>
    <row r="39" spans="1:5" ht="78" customHeight="1">
      <c r="A39" s="4">
        <v>3</v>
      </c>
      <c r="B39" s="5" t="s">
        <v>96</v>
      </c>
      <c r="C39" s="6" t="s">
        <v>97</v>
      </c>
      <c r="D39" s="7">
        <v>3</v>
      </c>
      <c r="E39" s="13">
        <f>IF(D39="",0,CHOOSE(D39,0,250,1000,2200,4000))</f>
        <v>1000</v>
      </c>
    </row>
    <row r="40" spans="1:5" ht="78" customHeight="1">
      <c r="A40" s="4">
        <v>4</v>
      </c>
      <c r="B40" s="5" t="s">
        <v>98</v>
      </c>
      <c r="C40" s="6" t="s">
        <v>99</v>
      </c>
      <c r="D40" s="7">
        <v>2</v>
      </c>
      <c r="E40" s="13">
        <f>IF(D40="",0,CHOOSE(D40,0,1,2,3,4))</f>
        <v>1</v>
      </c>
    </row>
    <row r="42" spans="1:5" ht="25.5" customHeight="1">
      <c r="A42" s="87" t="s">
        <v>100</v>
      </c>
      <c r="B42" s="61"/>
      <c r="C42" s="61"/>
      <c r="D42" s="61"/>
      <c r="E42" s="61"/>
    </row>
    <row r="43" spans="1:5" ht="31.5" customHeight="1">
      <c r="A43" s="2" t="s">
        <v>25</v>
      </c>
      <c r="B43" s="3" t="s">
        <v>26</v>
      </c>
      <c r="C43" s="3" t="s">
        <v>27</v>
      </c>
      <c r="D43" s="3" t="s">
        <v>28</v>
      </c>
      <c r="E43" s="3" t="s">
        <v>91</v>
      </c>
    </row>
    <row r="44" spans="1:5" ht="78" customHeight="1">
      <c r="A44" s="4">
        <v>1</v>
      </c>
      <c r="B44" s="5" t="s">
        <v>101</v>
      </c>
      <c r="C44" s="6" t="s">
        <v>41</v>
      </c>
      <c r="D44" s="7">
        <v>1</v>
      </c>
      <c r="E44" s="13">
        <f>IF(D44="",0,CHOOSE(D44,50,300,1000,2200,4000))</f>
        <v>50</v>
      </c>
    </row>
    <row r="45" spans="1:5" ht="78" customHeight="1">
      <c r="A45" s="4">
        <v>2</v>
      </c>
      <c r="B45" s="5" t="s">
        <v>102</v>
      </c>
      <c r="C45" s="6" t="s">
        <v>103</v>
      </c>
      <c r="D45" s="7">
        <v>1</v>
      </c>
      <c r="E45" s="13">
        <f>IF(D45="",0,CHOOSE(D45,0,50,300,1000,2200))</f>
        <v>0</v>
      </c>
    </row>
    <row r="46" spans="1:5" ht="78" customHeight="1">
      <c r="A46" s="4">
        <v>3</v>
      </c>
      <c r="B46" s="5" t="s">
        <v>104</v>
      </c>
      <c r="C46" s="6" t="s">
        <v>105</v>
      </c>
      <c r="D46" s="7">
        <v>1</v>
      </c>
      <c r="E46" s="13">
        <f>IF(D46="",0,CHOOSE(D46,0,500,1500,3000,5000))</f>
        <v>0</v>
      </c>
    </row>
    <row r="47" spans="1:5" ht="25.5" customHeight="1">
      <c r="A47" s="85" t="s">
        <v>106</v>
      </c>
      <c r="B47" s="86"/>
      <c r="C47" s="86"/>
      <c r="D47" s="86"/>
      <c r="E47" s="18">
        <f>(②相談時家計表!$E$44+②相談時家計表!$E$45+②相談時家計表!$E$46)-(②相談時家計表!$E$38+②相談時家計表!$E$39)</f>
        <v>-975</v>
      </c>
    </row>
    <row r="49" spans="1:5" ht="36" customHeight="1">
      <c r="A49" s="91" t="s">
        <v>107</v>
      </c>
      <c r="B49" s="86"/>
      <c r="C49" s="86"/>
      <c r="D49" s="86"/>
      <c r="E49" s="86"/>
    </row>
  </sheetData>
  <mergeCells count="13">
    <mergeCell ref="A35:E35"/>
    <mergeCell ref="A12:E12"/>
    <mergeCell ref="A2:E2"/>
    <mergeCell ref="A42:E42"/>
    <mergeCell ref="A49:E49"/>
    <mergeCell ref="A29:D29"/>
    <mergeCell ref="A47:D47"/>
    <mergeCell ref="A1:E1"/>
    <mergeCell ref="A33:D33"/>
    <mergeCell ref="A31:E31"/>
    <mergeCell ref="A10:D10"/>
    <mergeCell ref="A32:D32"/>
    <mergeCell ref="A3:E3"/>
  </mergeCells>
  <phoneticPr fontId="26"/>
  <dataValidations count="1">
    <dataValidation type="whole" allowBlank="1" showErrorMessage="1" errorTitle="入力エラー" error="1〜5の整数を入力してください" sqref="D5:D9 D14:D28 D37:D40 D44:D46" xr:uid="{00000000-0002-0000-0200-000000000000}">
      <formula1>1</formula1>
      <formula2>5</formula2>
    </dataValidation>
  </dataValidations>
  <pageMargins left="0.75" right="0.75" top="1" bottom="1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3"/>
  <sheetViews>
    <sheetView topLeftCell="A4" zoomScaleNormal="100" workbookViewId="0">
      <selection activeCell="E6" sqref="E6"/>
    </sheetView>
  </sheetViews>
  <sheetFormatPr defaultColWidth="8.6328125" defaultRowHeight="14.5"/>
  <cols>
    <col min="1" max="1" width="4" customWidth="1"/>
    <col min="2" max="2" width="26" customWidth="1"/>
    <col min="3" max="3" width="27.453125" customWidth="1"/>
    <col min="4" max="4" width="10" customWidth="1"/>
    <col min="5" max="5" width="16.81640625" customWidth="1"/>
    <col min="6" max="6" width="3" customWidth="1"/>
    <col min="7" max="7" width="13.36328125" customWidth="1"/>
  </cols>
  <sheetData>
    <row r="1" spans="1:5" ht="31.5" customHeight="1">
      <c r="A1" s="84" t="s">
        <v>108</v>
      </c>
      <c r="B1" s="61"/>
      <c r="C1" s="61"/>
      <c r="D1" s="61"/>
      <c r="E1" s="61"/>
    </row>
    <row r="2" spans="1:5" ht="21.75" customHeight="1">
      <c r="A2" s="83" t="s">
        <v>109</v>
      </c>
      <c r="B2" s="61"/>
      <c r="C2" s="61"/>
      <c r="D2" s="61"/>
      <c r="E2" s="61"/>
    </row>
    <row r="3" spans="1:5" ht="25.5" customHeight="1">
      <c r="A3" s="90" t="s">
        <v>110</v>
      </c>
      <c r="B3" s="61"/>
      <c r="C3" s="61"/>
      <c r="D3" s="61"/>
      <c r="E3" s="61"/>
    </row>
    <row r="4" spans="1:5" ht="31.5" customHeight="1">
      <c r="A4" s="2" t="s">
        <v>25</v>
      </c>
      <c r="B4" s="3" t="s">
        <v>26</v>
      </c>
      <c r="C4" s="3" t="s">
        <v>27</v>
      </c>
      <c r="D4" s="3" t="s">
        <v>28</v>
      </c>
      <c r="E4" s="3" t="s">
        <v>91</v>
      </c>
    </row>
    <row r="5" spans="1:5" ht="78" customHeight="1">
      <c r="A5" s="4">
        <v>1</v>
      </c>
      <c r="B5" s="5" t="s">
        <v>111</v>
      </c>
      <c r="C5" s="6" t="s">
        <v>112</v>
      </c>
      <c r="D5" s="7">
        <v>1</v>
      </c>
      <c r="E5" s="13">
        <f>IF(D5="",0,CHOOSE(D5,50,80,130,180,250))</f>
        <v>50</v>
      </c>
    </row>
    <row r="6" spans="1:5" ht="78" customHeight="1">
      <c r="A6" s="4">
        <v>2</v>
      </c>
      <c r="B6" s="5" t="s">
        <v>113</v>
      </c>
      <c r="C6" s="6" t="s">
        <v>114</v>
      </c>
      <c r="D6" s="7">
        <v>2</v>
      </c>
      <c r="E6" s="13">
        <f>IF(D6="",0,CHOOSE(D6,0,18,22,24,27))</f>
        <v>18</v>
      </c>
    </row>
    <row r="7" spans="1:5" ht="25.5" customHeight="1">
      <c r="A7" s="89" t="s">
        <v>115</v>
      </c>
      <c r="B7" s="61"/>
      <c r="C7" s="61"/>
      <c r="D7" s="61"/>
      <c r="E7" s="61"/>
    </row>
    <row r="8" spans="1:5" ht="31.5" customHeight="1">
      <c r="A8" s="2" t="s">
        <v>25</v>
      </c>
      <c r="B8" s="3" t="s">
        <v>26</v>
      </c>
      <c r="C8" s="3" t="s">
        <v>27</v>
      </c>
      <c r="D8" s="3" t="s">
        <v>28</v>
      </c>
      <c r="E8" s="3" t="s">
        <v>91</v>
      </c>
    </row>
    <row r="9" spans="1:5" ht="78" customHeight="1">
      <c r="A9" s="4">
        <v>1</v>
      </c>
      <c r="B9" s="5" t="s">
        <v>116</v>
      </c>
      <c r="C9" s="6" t="s">
        <v>117</v>
      </c>
      <c r="D9" s="7">
        <v>4</v>
      </c>
      <c r="E9" s="13">
        <f>IF(D9="",0,CHOOSE(D9,0,500,1000,2000,3000))</f>
        <v>2000</v>
      </c>
    </row>
    <row r="10" spans="1:5" ht="78" customHeight="1">
      <c r="A10" s="4">
        <v>2</v>
      </c>
      <c r="B10" s="5" t="s">
        <v>118</v>
      </c>
      <c r="C10" s="6" t="s">
        <v>117</v>
      </c>
      <c r="D10" s="7">
        <v>1</v>
      </c>
      <c r="E10" s="13">
        <f>IF(D10="",0,CHOOSE(D10,0,500,1000,2000,3000))</f>
        <v>0</v>
      </c>
    </row>
    <row r="11" spans="1:5" ht="78" customHeight="1">
      <c r="A11" s="4">
        <v>3</v>
      </c>
      <c r="B11" s="5" t="s">
        <v>119</v>
      </c>
      <c r="C11" s="6" t="s">
        <v>120</v>
      </c>
      <c r="D11" s="7">
        <v>2</v>
      </c>
      <c r="E11" s="13">
        <f>IF(D11="",0,CHOOSE(D11,0,200,300,400,500))</f>
        <v>200</v>
      </c>
    </row>
    <row r="12" spans="1:5" ht="78" customHeight="1">
      <c r="A12" s="4">
        <v>4</v>
      </c>
      <c r="B12" s="5" t="s">
        <v>121</v>
      </c>
      <c r="C12" s="6" t="s">
        <v>122</v>
      </c>
      <c r="D12" s="7">
        <v>4</v>
      </c>
      <c r="E12" s="13">
        <f>IF(D12="",0,CHOOSE(D12,0,63,65,70,75))</f>
        <v>70</v>
      </c>
    </row>
    <row r="13" spans="1:5" ht="78" customHeight="1">
      <c r="A13" s="4">
        <v>5</v>
      </c>
      <c r="B13" s="5" t="s">
        <v>123</v>
      </c>
      <c r="C13" s="6" t="s">
        <v>124</v>
      </c>
      <c r="D13" s="7">
        <v>2</v>
      </c>
      <c r="E13" s="13">
        <f>IF(D13="",0,CHOOSE(D13,100,150,200,250,300))</f>
        <v>150</v>
      </c>
    </row>
    <row r="14" spans="1:5" ht="78" customHeight="1">
      <c r="A14" s="4">
        <v>6</v>
      </c>
      <c r="B14" s="5" t="s">
        <v>125</v>
      </c>
      <c r="C14" s="6" t="s">
        <v>126</v>
      </c>
      <c r="D14" s="7">
        <v>2</v>
      </c>
      <c r="E14" s="13">
        <f>IF(D14="",0,CHOOSE(D14,50,70,120,180,220))</f>
        <v>70</v>
      </c>
    </row>
    <row r="15" spans="1:5" ht="78" customHeight="1">
      <c r="A15" s="4">
        <v>7</v>
      </c>
      <c r="B15" s="5" t="s">
        <v>127</v>
      </c>
      <c r="C15" s="6" t="s">
        <v>128</v>
      </c>
      <c r="D15" s="7">
        <v>4</v>
      </c>
      <c r="E15" s="13">
        <f>IF(D15="",0,CHOOSE(D15,60,63,65,68,75))</f>
        <v>68</v>
      </c>
    </row>
    <row r="16" spans="1:5" ht="25.5" customHeight="1">
      <c r="A16" s="90" t="s">
        <v>129</v>
      </c>
      <c r="B16" s="61"/>
      <c r="C16" s="61"/>
      <c r="D16" s="61"/>
      <c r="E16" s="61"/>
    </row>
    <row r="17" spans="1:5" ht="31.5" customHeight="1">
      <c r="A17" s="2" t="s">
        <v>25</v>
      </c>
      <c r="B17" s="3" t="s">
        <v>26</v>
      </c>
      <c r="C17" s="3" t="s">
        <v>27</v>
      </c>
      <c r="D17" s="3" t="s">
        <v>28</v>
      </c>
      <c r="E17" s="3" t="s">
        <v>91</v>
      </c>
    </row>
    <row r="18" spans="1:5" ht="78" customHeight="1">
      <c r="A18" s="4">
        <v>1</v>
      </c>
      <c r="B18" s="5" t="s">
        <v>130</v>
      </c>
      <c r="C18" s="6" t="s">
        <v>131</v>
      </c>
      <c r="D18" s="7">
        <v>3</v>
      </c>
      <c r="E18" s="13">
        <f>IF(D18="",0,CHOOSE(D18,0,300,600,1000,1500))</f>
        <v>600</v>
      </c>
    </row>
    <row r="19" spans="1:5" ht="78" customHeight="1">
      <c r="A19" s="4">
        <v>2</v>
      </c>
      <c r="B19" s="5" t="s">
        <v>132</v>
      </c>
      <c r="C19" s="6" t="s">
        <v>133</v>
      </c>
      <c r="D19" s="7"/>
      <c r="E19" s="13">
        <f>IF(D19="",0,CHOOSE(D19,0,300,700,1500,2500))</f>
        <v>0</v>
      </c>
    </row>
    <row r="20" spans="1:5" ht="78" customHeight="1">
      <c r="A20" s="4">
        <v>3</v>
      </c>
      <c r="B20" s="5" t="s">
        <v>134</v>
      </c>
      <c r="C20" s="6" t="s">
        <v>135</v>
      </c>
      <c r="D20" s="7">
        <v>3</v>
      </c>
      <c r="E20" s="13">
        <f>IF(D20="",0,CHOOSE(D20,0,100,300,500,800))</f>
        <v>300</v>
      </c>
    </row>
    <row r="21" spans="1:5" ht="78" customHeight="1">
      <c r="A21" s="4">
        <v>4</v>
      </c>
      <c r="B21" s="5" t="s">
        <v>136</v>
      </c>
      <c r="C21" s="6" t="s">
        <v>137</v>
      </c>
      <c r="D21" s="7">
        <v>3</v>
      </c>
      <c r="E21" s="13">
        <f>IF(D21="",0,CHOOSE(D21,0,100,300,600,1000))</f>
        <v>300</v>
      </c>
    </row>
    <row r="22" spans="1:5" ht="78" customHeight="1">
      <c r="A22" s="4">
        <v>5</v>
      </c>
      <c r="B22" s="19" t="s">
        <v>138</v>
      </c>
      <c r="C22" s="6" t="s">
        <v>139</v>
      </c>
      <c r="D22" s="7">
        <v>3</v>
      </c>
      <c r="E22" s="13">
        <f>IF(D22="",0,CHOOSE(D22,20,40,70,120,180))</f>
        <v>70</v>
      </c>
    </row>
    <row r="23" spans="1:5" ht="78" customHeight="1">
      <c r="A23" s="4">
        <v>6</v>
      </c>
      <c r="B23" s="5" t="s">
        <v>140</v>
      </c>
      <c r="C23" s="6" t="s">
        <v>141</v>
      </c>
      <c r="D23" s="7">
        <v>2</v>
      </c>
      <c r="E23" s="13">
        <f>IF(D23="",0,CHOOSE(D23,0,100,200,400,600))</f>
        <v>100</v>
      </c>
    </row>
  </sheetData>
  <mergeCells count="5">
    <mergeCell ref="A2:E2"/>
    <mergeCell ref="A16:E16"/>
    <mergeCell ref="A7:E7"/>
    <mergeCell ref="A1:E1"/>
    <mergeCell ref="A3:E3"/>
  </mergeCells>
  <phoneticPr fontId="26"/>
  <dataValidations count="1">
    <dataValidation type="whole" allowBlank="1" showErrorMessage="1" errorTitle="入力エラー" error="1〜5の整数を入力してください" sqref="D5:D6 D9:D15 D18:D23" xr:uid="{00000000-0002-0000-0300-000000000000}">
      <formula1>1</formula1>
      <formula2>5</formula2>
    </dataValidation>
  </dataValidations>
  <pageMargins left="0.75" right="0.75" top="1" bottom="1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68"/>
  <sheetViews>
    <sheetView zoomScaleNormal="100" workbookViewId="0">
      <pane xSplit="4" ySplit="7" topLeftCell="E62" activePane="bottomRight" state="frozen"/>
      <selection pane="topRight" activeCell="E1" sqref="E1"/>
      <selection pane="bottomLeft" activeCell="A8" sqref="A8"/>
      <selection pane="bottomRight" activeCell="H9" sqref="H9"/>
    </sheetView>
  </sheetViews>
  <sheetFormatPr defaultColWidth="8.6328125" defaultRowHeight="14.5"/>
  <cols>
    <col min="1" max="1" width="6" customWidth="1"/>
    <col min="2" max="4" width="7" customWidth="1"/>
    <col min="5" max="9" width="11" customWidth="1"/>
    <col min="10" max="10" width="12" customWidth="1"/>
    <col min="11" max="12" width="11" customWidth="1"/>
    <col min="13" max="13" width="10" customWidth="1"/>
    <col min="14" max="16" width="11" customWidth="1"/>
    <col min="17" max="18" width="12" customWidth="1"/>
    <col min="19" max="19" width="13" customWidth="1"/>
  </cols>
  <sheetData>
    <row r="1" spans="1:19" ht="31.5" customHeight="1">
      <c r="A1" s="84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1.75" customHeight="1">
      <c r="A2" s="83" t="s">
        <v>143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1.75" customHeight="1">
      <c r="A3" s="96" t="s">
        <v>144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21.75" customHeight="1">
      <c r="A4" s="20" t="s">
        <v>145</v>
      </c>
      <c r="B4" s="21">
        <f>①基本情報!$E$4</f>
        <v>40</v>
      </c>
      <c r="C4" s="20" t="s">
        <v>146</v>
      </c>
      <c r="D4" s="21">
        <f>①基本情報!$E$5</f>
        <v>60</v>
      </c>
      <c r="E4" s="20" t="s">
        <v>147</v>
      </c>
      <c r="F4" s="21">
        <f>①基本情報!$E$6</f>
        <v>-3</v>
      </c>
      <c r="G4" s="20" t="s">
        <v>148</v>
      </c>
      <c r="H4" s="22">
        <f>①基本情報!$E$7</f>
        <v>3</v>
      </c>
      <c r="I4" s="20" t="s">
        <v>149</v>
      </c>
      <c r="J4" s="21">
        <f>①基本情報!$E$8</f>
        <v>9</v>
      </c>
      <c r="K4" s="20" t="s">
        <v>150</v>
      </c>
      <c r="L4" s="23">
        <f>①基本情報!$E$9</f>
        <v>50</v>
      </c>
      <c r="M4" s="20" t="s">
        <v>151</v>
      </c>
      <c r="N4" s="24">
        <f>①基本情報!$E$10</f>
        <v>5.0000000000000001E-3</v>
      </c>
    </row>
    <row r="5" spans="1:19" ht="7.5" customHeight="1"/>
    <row r="6" spans="1:19" ht="25.5" customHeight="1">
      <c r="A6" s="93" t="s">
        <v>152</v>
      </c>
      <c r="B6" s="93" t="s">
        <v>153</v>
      </c>
      <c r="C6" s="93" t="s">
        <v>154</v>
      </c>
      <c r="D6" s="93" t="s">
        <v>155</v>
      </c>
      <c r="E6" s="95" t="s">
        <v>156</v>
      </c>
      <c r="F6" s="86"/>
      <c r="G6" s="86"/>
      <c r="H6" s="86"/>
      <c r="I6" s="86"/>
      <c r="J6" s="86"/>
      <c r="K6" s="95" t="s">
        <v>157</v>
      </c>
      <c r="L6" s="86"/>
      <c r="M6" s="86"/>
      <c r="N6" s="86"/>
      <c r="O6" s="86"/>
      <c r="P6" s="86"/>
      <c r="Q6" s="86"/>
      <c r="R6" s="93" t="s">
        <v>158</v>
      </c>
      <c r="S6" s="93" t="s">
        <v>159</v>
      </c>
    </row>
    <row r="7" spans="1:19" ht="25.5" customHeight="1">
      <c r="A7" s="94"/>
      <c r="B7" s="94"/>
      <c r="C7" s="94"/>
      <c r="D7" s="94"/>
      <c r="E7" s="20" t="s">
        <v>160</v>
      </c>
      <c r="F7" s="20" t="s">
        <v>161</v>
      </c>
      <c r="G7" s="20" t="s">
        <v>162</v>
      </c>
      <c r="H7" s="20" t="s">
        <v>163</v>
      </c>
      <c r="I7" s="20" t="s">
        <v>164</v>
      </c>
      <c r="J7" s="20" t="s">
        <v>165</v>
      </c>
      <c r="K7" s="20" t="s">
        <v>166</v>
      </c>
      <c r="L7" s="20" t="s">
        <v>167</v>
      </c>
      <c r="M7" s="20" t="s">
        <v>168</v>
      </c>
      <c r="N7" s="20" t="s">
        <v>169</v>
      </c>
      <c r="O7" s="20" t="s">
        <v>170</v>
      </c>
      <c r="P7" s="20" t="s">
        <v>171</v>
      </c>
      <c r="Q7" s="20" t="s">
        <v>172</v>
      </c>
      <c r="R7" s="94"/>
      <c r="S7" s="94"/>
    </row>
    <row r="8" spans="1:19" ht="18" customHeight="1">
      <c r="A8" s="4">
        <v>0</v>
      </c>
      <c r="B8" s="4">
        <f t="shared" ref="B8:B39" si="0">2026+A8</f>
        <v>2026</v>
      </c>
      <c r="C8" s="4">
        <f>IF(①基本情報!$E$4="","",①基本情報!$E$4+A8)</f>
        <v>40</v>
      </c>
      <c r="D8" s="4">
        <f>IF(①基本情報!$E$4="","",IF(AND(②相談時家計表!$E$6=0,③ライフイベント表!$E$14&lt;=50,①基本情報!$E$6=0),"",C8+①基本情報!$E$6))</f>
        <v>37</v>
      </c>
      <c r="E8" s="25">
        <f>IF(OR(C8="",①基本情報!$E$5=""),0,IF(C8&lt;①基本情報!$E$5,(②相談時家計表!$E$5*12),IF(AND(C8&gt;=①基本情報!$E$5,C8&lt;③ライフイベント表!$E$12,③ライフイベント表!$E$12&gt;0),③ライフイベント表!$E$11,0)))</f>
        <v>300</v>
      </c>
      <c r="F8" s="25">
        <f>IF(OR(C8="",①基本情報!$E$5=""),0,IF(C8&lt;①基本情報!$E$5,(②相談時家計表!$E$6*12),0))</f>
        <v>120</v>
      </c>
      <c r="G8" s="25"/>
      <c r="H8" s="25"/>
      <c r="I8" s="25">
        <f>IF(C8="",0,IF(C8=①基本情報!$E$5,③ライフイベント表!$E$9,0)+IF(C8=①基本情報!$E$5+5,③ライフイベント表!$E$10,0))</f>
        <v>0</v>
      </c>
      <c r="J8" s="26">
        <f t="shared" ref="J8:J39" si="1">SUM(E8:I8)</f>
        <v>420</v>
      </c>
      <c r="K8" s="25">
        <f>IF(C8="",0,IF(C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8" s="25">
        <f>IF(C8="",0,IF((②相談時家計表!$E$15*12)=0,0,IF(C8&lt;①基本情報!$E$5,(②相談時家計表!$E$15*12),36)))</f>
        <v>96</v>
      </c>
      <c r="M8" s="25">
        <f>IF(C8="",0,IF(C8&lt;①基本情報!$E$5,(②相談時家計表!$E$20*12),(②相談時家計表!$E$20*12)*0.5))</f>
        <v>6</v>
      </c>
      <c r="N8" s="25">
        <f>IF(OR(C8="",①基本情報!$E$7=0,①基本情報!$E$8=99),0,IF((①基本情報!$E$8+A8)&lt;=③ライフイベント表!$E$6,③ライフイベント表!$E$5*①基本情報!$E$7,0))</f>
        <v>150</v>
      </c>
      <c r="O8" s="25">
        <f>IF(C8="",0,IF(C8&gt;=70,③ライフイベント表!$E$22,(②相談時家計表!$E$21*12)+(②相談時家計表!$E$27*12)))</f>
        <v>6</v>
      </c>
      <c r="P8" s="25">
        <f>IF(C8="",0,IF(AND(MOD(C8-①基本情報!$E$4,7)=0,C8&gt;①基本情報!$E$4,C8&lt;90),③ライフイベント表!$E$18/5,0)+IF(C8=①基本情報!$E$5+1,③ライフイベント表!$E$19,0)+IF(AND(①基本情報!$E$7&gt;0,C8=①基本情報!$E$4+(25-①基本情報!$E$8),①基本情報!$E$8&lt;25),③ライフイベント表!$E$20,0)+IF(AND(C8&gt;=①基本情報!$E$5,C8&lt;①基本情報!$E$5+10),③ライフイベント表!$E$21/10,0)+IF(C8=95,③ライフイベント表!$E$23,0))</f>
        <v>0</v>
      </c>
      <c r="Q8" s="27">
        <f t="shared" ref="Q8:Q39" si="2">SUM(K8:P8)</f>
        <v>474</v>
      </c>
      <c r="R8" s="28">
        <f t="shared" ref="R8:R39" si="3">J8-Q8</f>
        <v>-54</v>
      </c>
      <c r="S8" s="29">
        <f>IFERROR((IF(①基本情報!$E$9="",0,①基本情報!$E$9)+R8)*(1+IF(①基本情報!$E$10="",0,①基本情報!$E$10)),0)</f>
        <v>-4.0199999999999996</v>
      </c>
    </row>
    <row r="9" spans="1:19" ht="18" customHeight="1">
      <c r="A9" s="30">
        <v>1</v>
      </c>
      <c r="B9" s="30">
        <f t="shared" si="0"/>
        <v>2027</v>
      </c>
      <c r="C9" s="30">
        <f>IF(①基本情報!$E$4="","",①基本情報!$E$4+A9)</f>
        <v>41</v>
      </c>
      <c r="D9" s="30">
        <f>IF(①基本情報!$E$4="","",IF(AND(②相談時家計表!$E$6=0,③ライフイベント表!$E$14&lt;=50,①基本情報!$E$6=0),"",C9+①基本情報!$E$6))</f>
        <v>38</v>
      </c>
      <c r="E9" s="31">
        <f>IF(OR(C9="",①基本情報!$E$5=""),0,IF(C9&lt;①基本情報!$E$5,(②相談時家計表!$E$5*12),IF(AND(C9&gt;=①基本情報!$E$5,C9&lt;③ライフイベント表!$E$12,③ライフイベント表!$E$12&gt;0),③ライフイベント表!$E$11,0)))</f>
        <v>300</v>
      </c>
      <c r="F9" s="31">
        <f>IF(OR(C9="",①基本情報!$E$5=""),0,IF(C9&lt;①基本情報!$E$5,(②相談時家計表!$E$6*12),0))</f>
        <v>120</v>
      </c>
      <c r="G9" s="31"/>
      <c r="H9" s="31"/>
      <c r="I9" s="31">
        <f>IF(C9="",0,IF(C9=①基本情報!$E$5,③ライフイベント表!$E$9,0)+IF(C9=①基本情報!$E$5+5,③ライフイベント表!$E$10,0))</f>
        <v>0</v>
      </c>
      <c r="J9" s="32">
        <f t="shared" si="1"/>
        <v>420</v>
      </c>
      <c r="K9" s="31">
        <f>IF(C9="",0,IF(C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9" s="31">
        <f>IF(C9="",0,IF((②相談時家計表!$E$15*12)=0,0,IF(C9&lt;①基本情報!$E$5,(②相談時家計表!$E$15*12),36)))</f>
        <v>96</v>
      </c>
      <c r="M9" s="31">
        <f>IF(C9="",0,IF(C9&lt;①基本情報!$E$5,(②相談時家計表!$E$20*12),(②相談時家計表!$E$20*12)*0.5))</f>
        <v>6</v>
      </c>
      <c r="N9" s="31">
        <f>IF(OR(C9="",①基本情報!$E$7=0,①基本情報!$E$8=99),0,IF((①基本情報!$E$8+A9)&lt;=③ライフイベント表!$E$6,③ライフイベント表!$E$5*①基本情報!$E$7,0))</f>
        <v>150</v>
      </c>
      <c r="O9" s="31">
        <f>IF(C9="",0,IF(C9&gt;=70,③ライフイベント表!$E$22,(②相談時家計表!$E$21*12)+(②相談時家計表!$E$27*12)))</f>
        <v>6</v>
      </c>
      <c r="P9" s="31">
        <f>IF(C9="",0,IF(AND(MOD(C9-①基本情報!$E$4,7)=0,C9&gt;①基本情報!$E$4,C9&lt;90),③ライフイベント表!$E$18/5,0)+IF(C9=①基本情報!$E$5+1,③ライフイベント表!$E$19,0)+IF(AND(①基本情報!$E$7&gt;0,C9=①基本情報!$E$4+(25-①基本情報!$E$8),①基本情報!$E$8&lt;25),③ライフイベント表!$E$20,0)+IF(AND(C9&gt;=①基本情報!$E$5,C9&lt;①基本情報!$E$5+10),③ライフイベント表!$E$21/10,0)+IF(C9=95,③ライフイベント表!$E$23,0))</f>
        <v>0</v>
      </c>
      <c r="Q9" s="33">
        <f t="shared" si="2"/>
        <v>474</v>
      </c>
      <c r="R9" s="34">
        <f t="shared" si="3"/>
        <v>-54</v>
      </c>
      <c r="S9" s="35">
        <f>IFERROR((S8+R9)*(1+IF(①基本情報!$E$10="",0,①基本情報!$E$10)),0)</f>
        <v>-58.310099999999991</v>
      </c>
    </row>
    <row r="10" spans="1:19" ht="18" customHeight="1">
      <c r="A10" s="4">
        <v>2</v>
      </c>
      <c r="B10" s="4">
        <f t="shared" si="0"/>
        <v>2028</v>
      </c>
      <c r="C10" s="4">
        <f>IF(①基本情報!$E$4="","",①基本情報!$E$4+A10)</f>
        <v>42</v>
      </c>
      <c r="D10" s="4">
        <f>IF(①基本情報!$E$4="","",IF(AND(②相談時家計表!$E$6=0,③ライフイベント表!$E$14&lt;=50,①基本情報!$E$6=0),"",C10+①基本情報!$E$6))</f>
        <v>39</v>
      </c>
      <c r="E10" s="25">
        <f>IF(OR(C10="",①基本情報!$E$5=""),0,IF(C10&lt;①基本情報!$E$5,(②相談時家計表!$E$5*12),IF(AND(C10&gt;=①基本情報!$E$5,C10&lt;③ライフイベント表!$E$12,③ライフイベント表!$E$12&gt;0),③ライフイベント表!$E$11,0)))</f>
        <v>300</v>
      </c>
      <c r="F10" s="25">
        <f>IF(OR(C10="",①基本情報!$E$5=""),0,IF(C10&lt;①基本情報!$E$5,(②相談時家計表!$E$6*12),0))</f>
        <v>120</v>
      </c>
      <c r="G10" s="25"/>
      <c r="H10" s="25"/>
      <c r="I10" s="25">
        <f>IF(C10="",0,IF(C10=①基本情報!$E$5,③ライフイベント表!$E$9,0)+IF(C10=①基本情報!$E$5+5,③ライフイベント表!$E$10,0))</f>
        <v>0</v>
      </c>
      <c r="J10" s="26">
        <f t="shared" si="1"/>
        <v>420</v>
      </c>
      <c r="K10" s="25">
        <f>IF(C10="",0,IF(C10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10" s="25">
        <f>IF(C10="",0,IF((②相談時家計表!$E$15*12)=0,0,IF(C10&lt;①基本情報!$E$5,(②相談時家計表!$E$15*12),36)))</f>
        <v>96</v>
      </c>
      <c r="M10" s="25">
        <f>IF(C10="",0,IF(C10&lt;①基本情報!$E$5,(②相談時家計表!$E$20*12),(②相談時家計表!$E$20*12)*0.5))</f>
        <v>6</v>
      </c>
      <c r="N10" s="25">
        <f>IF(OR(C10="",①基本情報!$E$7=0,①基本情報!$E$8=99),0,IF((①基本情報!$E$8+A10)&lt;=③ライフイベント表!$E$6,③ライフイベント表!$E$5*①基本情報!$E$7,0))</f>
        <v>150</v>
      </c>
      <c r="O10" s="25">
        <f>IF(C10="",0,IF(C10&gt;=70,③ライフイベント表!$E$22,(②相談時家計表!$E$21*12)+(②相談時家計表!$E$27*12)))</f>
        <v>6</v>
      </c>
      <c r="P10" s="25">
        <f>IF(C10="",0,IF(AND(MOD(C10-①基本情報!$E$4,7)=0,C10&gt;①基本情報!$E$4,C10&lt;90),③ライフイベント表!$E$18/5,0)+IF(C10=①基本情報!$E$5+1,③ライフイベント表!$E$19,0)+IF(AND(①基本情報!$E$7&gt;0,C10=①基本情報!$E$4+(25-①基本情報!$E$8),①基本情報!$E$8&lt;25),③ライフイベント表!$E$20,0)+IF(AND(C10&gt;=①基本情報!$E$5,C10&lt;①基本情報!$E$5+10),③ライフイベント表!$E$21/10,0)+IF(C10=95,③ライフイベント表!$E$23,0))</f>
        <v>0</v>
      </c>
      <c r="Q10" s="27">
        <f t="shared" si="2"/>
        <v>474</v>
      </c>
      <c r="R10" s="28">
        <f t="shared" si="3"/>
        <v>-54</v>
      </c>
      <c r="S10" s="29">
        <f>IFERROR((S9+R10)*(1+IF(①基本情報!$E$10="",0,①基本情報!$E$10)),0)</f>
        <v>-112.87165049999997</v>
      </c>
    </row>
    <row r="11" spans="1:19" ht="18" customHeight="1">
      <c r="A11" s="30">
        <v>3</v>
      </c>
      <c r="B11" s="30">
        <f t="shared" si="0"/>
        <v>2029</v>
      </c>
      <c r="C11" s="30">
        <f>IF(①基本情報!$E$4="","",①基本情報!$E$4+A11)</f>
        <v>43</v>
      </c>
      <c r="D11" s="30">
        <f>IF(①基本情報!$E$4="","",IF(AND(②相談時家計表!$E$6=0,③ライフイベント表!$E$14&lt;=50,①基本情報!$E$6=0),"",C11+①基本情報!$E$6))</f>
        <v>40</v>
      </c>
      <c r="E11" s="31">
        <f>IF(OR(C11="",①基本情報!$E$5=""),0,IF(C11&lt;①基本情報!$E$5,(②相談時家計表!$E$5*12),IF(AND(C11&gt;=①基本情報!$E$5,C11&lt;③ライフイベント表!$E$12,③ライフイベント表!$E$12&gt;0),③ライフイベント表!$E$11,0)))</f>
        <v>300</v>
      </c>
      <c r="F11" s="31">
        <f>IF(OR(C11="",①基本情報!$E$5=""),0,IF(C11&lt;①基本情報!$E$5,(②相談時家計表!$E$6*12),0))</f>
        <v>120</v>
      </c>
      <c r="G11" s="31"/>
      <c r="H11" s="31"/>
      <c r="I11" s="31">
        <f>IF(C11="",0,IF(C11=①基本情報!$E$5,③ライフイベント表!$E$9,0)+IF(C11=①基本情報!$E$5+5,③ライフイベント表!$E$10,0))</f>
        <v>0</v>
      </c>
      <c r="J11" s="32">
        <f t="shared" si="1"/>
        <v>420</v>
      </c>
      <c r="K11" s="31">
        <f>IF(C11="",0,IF(C11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11" s="31">
        <f>IF(C11="",0,IF((②相談時家計表!$E$15*12)=0,0,IF(C11&lt;①基本情報!$E$5,(②相談時家計表!$E$15*12),36)))</f>
        <v>96</v>
      </c>
      <c r="M11" s="31">
        <f>IF(C11="",0,IF(C11&lt;①基本情報!$E$5,(②相談時家計表!$E$20*12),(②相談時家計表!$E$20*12)*0.5))</f>
        <v>6</v>
      </c>
      <c r="N11" s="31">
        <f>IF(OR(C11="",①基本情報!$E$7=0,①基本情報!$E$8=99),0,IF((①基本情報!$E$8+A11)&lt;=③ライフイベント表!$E$6,③ライフイベント表!$E$5*①基本情報!$E$7,0))</f>
        <v>150</v>
      </c>
      <c r="O11" s="31">
        <f>IF(C11="",0,IF(C11&gt;=70,③ライフイベント表!$E$22,(②相談時家計表!$E$21*12)+(②相談時家計表!$E$27*12)))</f>
        <v>6</v>
      </c>
      <c r="P11" s="31">
        <f>IF(C11="",0,IF(AND(MOD(C11-①基本情報!$E$4,7)=0,C11&gt;①基本情報!$E$4,C11&lt;90),③ライフイベント表!$E$18/5,0)+IF(C11=①基本情報!$E$5+1,③ライフイベント表!$E$19,0)+IF(AND(①基本情報!$E$7&gt;0,C11=①基本情報!$E$4+(25-①基本情報!$E$8),①基本情報!$E$8&lt;25),③ライフイベント表!$E$20,0)+IF(AND(C11&gt;=①基本情報!$E$5,C11&lt;①基本情報!$E$5+10),③ライフイベント表!$E$21/10,0)+IF(C11=95,③ライフイベント表!$E$23,0))</f>
        <v>0</v>
      </c>
      <c r="Q11" s="33">
        <f t="shared" si="2"/>
        <v>474</v>
      </c>
      <c r="R11" s="34">
        <f t="shared" si="3"/>
        <v>-54</v>
      </c>
      <c r="S11" s="35">
        <f>IFERROR((S10+R11)*(1+IF(①基本情報!$E$10="",0,①基本情報!$E$10)),0)</f>
        <v>-167.70600875249997</v>
      </c>
    </row>
    <row r="12" spans="1:19" ht="18" customHeight="1">
      <c r="A12" s="4">
        <v>4</v>
      </c>
      <c r="B12" s="4">
        <f t="shared" si="0"/>
        <v>2030</v>
      </c>
      <c r="C12" s="4">
        <f>IF(①基本情報!$E$4="","",①基本情報!$E$4+A12)</f>
        <v>44</v>
      </c>
      <c r="D12" s="4">
        <f>IF(①基本情報!$E$4="","",IF(AND(②相談時家計表!$E$6=0,③ライフイベント表!$E$14&lt;=50,①基本情報!$E$6=0),"",C12+①基本情報!$E$6))</f>
        <v>41</v>
      </c>
      <c r="E12" s="25">
        <f>IF(OR(C12="",①基本情報!$E$5=""),0,IF(C12&lt;①基本情報!$E$5,(②相談時家計表!$E$5*12),IF(AND(C12&gt;=①基本情報!$E$5,C12&lt;③ライフイベント表!$E$12,③ライフイベント表!$E$12&gt;0),③ライフイベント表!$E$11,0)))</f>
        <v>300</v>
      </c>
      <c r="F12" s="25">
        <f>IF(OR(C12="",①基本情報!$E$5=""),0,IF(C12&lt;①基本情報!$E$5,(②相談時家計表!$E$6*12),0))</f>
        <v>120</v>
      </c>
      <c r="G12" s="25"/>
      <c r="H12" s="25"/>
      <c r="I12" s="25">
        <f>IF(C12="",0,IF(C12=①基本情報!$E$5,③ライフイベント表!$E$9,0)+IF(C12=①基本情報!$E$5+5,③ライフイベント表!$E$10,0))</f>
        <v>0</v>
      </c>
      <c r="J12" s="26">
        <f t="shared" si="1"/>
        <v>420</v>
      </c>
      <c r="K12" s="25">
        <f>IF(C12="",0,IF(C12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12" s="25">
        <f>IF(C12="",0,IF((②相談時家計表!$E$15*12)=0,0,IF(C12&lt;①基本情報!$E$5,(②相談時家計表!$E$15*12),36)))</f>
        <v>96</v>
      </c>
      <c r="M12" s="25">
        <f>IF(C12="",0,IF(C12&lt;①基本情報!$E$5,(②相談時家計表!$E$20*12),(②相談時家計表!$E$20*12)*0.5))</f>
        <v>6</v>
      </c>
      <c r="N12" s="25">
        <f>IF(OR(C12="",①基本情報!$E$7=0,①基本情報!$E$8=99),0,IF((①基本情報!$E$8+A12)&lt;=③ライフイベント表!$E$6,③ライフイベント表!$E$5*①基本情報!$E$7,0))</f>
        <v>150</v>
      </c>
      <c r="O12" s="25">
        <f>IF(C12="",0,IF(C12&gt;=70,③ライフイベント表!$E$22,(②相談時家計表!$E$21*12)+(②相談時家計表!$E$27*12)))</f>
        <v>6</v>
      </c>
      <c r="P12" s="25">
        <f>IF(C12="",0,IF(AND(MOD(C12-①基本情報!$E$4,7)=0,C12&gt;①基本情報!$E$4,C12&lt;90),③ライフイベント表!$E$18/5,0)+IF(C12=①基本情報!$E$5+1,③ライフイベント表!$E$19,0)+IF(AND(①基本情報!$E$7&gt;0,C12=①基本情報!$E$4+(25-①基本情報!$E$8),①基本情報!$E$8&lt;25),③ライフイベント表!$E$20,0)+IF(AND(C12&gt;=①基本情報!$E$5,C12&lt;①基本情報!$E$5+10),③ライフイベント表!$E$21/10,0)+IF(C12=95,③ライフイベント表!$E$23,0))</f>
        <v>0</v>
      </c>
      <c r="Q12" s="27">
        <f t="shared" si="2"/>
        <v>474</v>
      </c>
      <c r="R12" s="28">
        <f t="shared" si="3"/>
        <v>-54</v>
      </c>
      <c r="S12" s="29">
        <f>IFERROR((S11+R12)*(1+IF(①基本情報!$E$10="",0,①基本情報!$E$10)),0)</f>
        <v>-222.81453879626244</v>
      </c>
    </row>
    <row r="13" spans="1:19" ht="18" customHeight="1">
      <c r="A13" s="30">
        <v>5</v>
      </c>
      <c r="B13" s="30">
        <f t="shared" si="0"/>
        <v>2031</v>
      </c>
      <c r="C13" s="30">
        <f>IF(①基本情報!$E$4="","",①基本情報!$E$4+A13)</f>
        <v>45</v>
      </c>
      <c r="D13" s="30">
        <f>IF(①基本情報!$E$4="","",IF(AND(②相談時家計表!$E$6=0,③ライフイベント表!$E$14&lt;=50,①基本情報!$E$6=0),"",C13+①基本情報!$E$6))</f>
        <v>42</v>
      </c>
      <c r="E13" s="31">
        <f>IF(OR(C13="",①基本情報!$E$5=""),0,IF(C13&lt;①基本情報!$E$5,(②相談時家計表!$E$5*12),IF(AND(C13&gt;=①基本情報!$E$5,C13&lt;③ライフイベント表!$E$12,③ライフイベント表!$E$12&gt;0),③ライフイベント表!$E$11,0)))</f>
        <v>300</v>
      </c>
      <c r="F13" s="31">
        <f>IF(OR(C13="",①基本情報!$E$5=""),0,IF(C13&lt;①基本情報!$E$5,(②相談時家計表!$E$6*12),0))</f>
        <v>120</v>
      </c>
      <c r="G13" s="31"/>
      <c r="H13" s="31"/>
      <c r="I13" s="31">
        <f>IF(C13="",0,IF(C13=①基本情報!$E$5,③ライフイベント表!$E$9,0)+IF(C13=①基本情報!$E$5+5,③ライフイベント表!$E$10,0))</f>
        <v>0</v>
      </c>
      <c r="J13" s="32">
        <f t="shared" si="1"/>
        <v>420</v>
      </c>
      <c r="K13" s="31">
        <f>IF(C13="",0,IF(C13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13" s="31">
        <f>IF(C13="",0,IF((②相談時家計表!$E$15*12)=0,0,IF(C13&lt;①基本情報!$E$5,(②相談時家計表!$E$15*12),36)))</f>
        <v>96</v>
      </c>
      <c r="M13" s="31">
        <f>IF(C13="",0,IF(C13&lt;①基本情報!$E$5,(②相談時家計表!$E$20*12),(②相談時家計表!$E$20*12)*0.5))</f>
        <v>6</v>
      </c>
      <c r="N13" s="31">
        <f>IF(OR(C13="",①基本情報!$E$7=0,①基本情報!$E$8=99),0,IF((①基本情報!$E$8+A13)&lt;=③ライフイベント表!$E$6,③ライフイベント表!$E$5*①基本情報!$E$7,0))</f>
        <v>150</v>
      </c>
      <c r="O13" s="31">
        <f>IF(C13="",0,IF(C13&gt;=70,③ライフイベント表!$E$22,(②相談時家計表!$E$21*12)+(②相談時家計表!$E$27*12)))</f>
        <v>6</v>
      </c>
      <c r="P13" s="31">
        <f>IF(C13="",0,IF(AND(MOD(C13-①基本情報!$E$4,7)=0,C13&gt;①基本情報!$E$4,C13&lt;90),③ライフイベント表!$E$18/5,0)+IF(C13=①基本情報!$E$5+1,③ライフイベント表!$E$19,0)+IF(AND(①基本情報!$E$7&gt;0,C13=①基本情報!$E$4+(25-①基本情報!$E$8),①基本情報!$E$8&lt;25),③ライフイベント表!$E$20,0)+IF(AND(C13&gt;=①基本情報!$E$5,C13&lt;①基本情報!$E$5+10),③ライフイベント表!$E$21/10,0)+IF(C13=95,③ライフイベント表!$E$23,0))</f>
        <v>0</v>
      </c>
      <c r="Q13" s="33">
        <f t="shared" si="2"/>
        <v>474</v>
      </c>
      <c r="R13" s="34">
        <f t="shared" si="3"/>
        <v>-54</v>
      </c>
      <c r="S13" s="35">
        <f>IFERROR((S12+R13)*(1+IF(①基本情報!$E$10="",0,①基本情報!$E$10)),0)</f>
        <v>-278.19861149024376</v>
      </c>
    </row>
    <row r="14" spans="1:19" ht="18" customHeight="1">
      <c r="A14" s="4">
        <v>6</v>
      </c>
      <c r="B14" s="4">
        <f t="shared" si="0"/>
        <v>2032</v>
      </c>
      <c r="C14" s="4">
        <f>IF(①基本情報!$E$4="","",①基本情報!$E$4+A14)</f>
        <v>46</v>
      </c>
      <c r="D14" s="4">
        <f>IF(①基本情報!$E$4="","",IF(AND(②相談時家計表!$E$6=0,③ライフイベント表!$E$14&lt;=50,①基本情報!$E$6=0),"",C14+①基本情報!$E$6))</f>
        <v>43</v>
      </c>
      <c r="E14" s="25">
        <f>IF(OR(C14="",①基本情報!$E$5=""),0,IF(C14&lt;①基本情報!$E$5,(②相談時家計表!$E$5*12),IF(AND(C14&gt;=①基本情報!$E$5,C14&lt;③ライフイベント表!$E$12,③ライフイベント表!$E$12&gt;0),③ライフイベント表!$E$11,0)))</f>
        <v>300</v>
      </c>
      <c r="F14" s="25">
        <f>IF(OR(C14="",①基本情報!$E$5=""),0,IF(C14&lt;①基本情報!$E$5,(②相談時家計表!$E$6*12),0))</f>
        <v>120</v>
      </c>
      <c r="G14" s="25"/>
      <c r="H14" s="25"/>
      <c r="I14" s="25">
        <f>IF(C14="",0,IF(C14=①基本情報!$E$5,③ライフイベント表!$E$9,0)+IF(C14=①基本情報!$E$5+5,③ライフイベント表!$E$10,0))</f>
        <v>0</v>
      </c>
      <c r="J14" s="26">
        <f t="shared" si="1"/>
        <v>420</v>
      </c>
      <c r="K14" s="25">
        <f>IF(C14="",0,IF(C14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14" s="25">
        <f>IF(C14="",0,IF((②相談時家計表!$E$15*12)=0,0,IF(C14&lt;①基本情報!$E$5,(②相談時家計表!$E$15*12),36)))</f>
        <v>96</v>
      </c>
      <c r="M14" s="25">
        <f>IF(C14="",0,IF(C14&lt;①基本情報!$E$5,(②相談時家計表!$E$20*12),(②相談時家計表!$E$20*12)*0.5))</f>
        <v>6</v>
      </c>
      <c r="N14" s="25">
        <f>IF(OR(C14="",①基本情報!$E$7=0,①基本情報!$E$8=99),0,IF((①基本情報!$E$8+A14)&lt;=③ライフイベント表!$E$6,③ライフイベント表!$E$5*①基本情報!$E$7,0))</f>
        <v>150</v>
      </c>
      <c r="O14" s="25">
        <f>IF(C14="",0,IF(C14&gt;=70,③ライフイベント表!$E$22,(②相談時家計表!$E$21*12)+(②相談時家計表!$E$27*12)))</f>
        <v>6</v>
      </c>
      <c r="P14" s="25">
        <f>IF(C14="",0,IF(AND(MOD(C14-①基本情報!$E$4,7)=0,C14&gt;①基本情報!$E$4,C14&lt;90),③ライフイベント表!$E$18/5,0)+IF(C14=①基本情報!$E$5+1,③ライフイベント表!$E$19,0)+IF(AND(①基本情報!$E$7&gt;0,C14=①基本情報!$E$4+(25-①基本情報!$E$8),①基本情報!$E$8&lt;25),③ライフイベント表!$E$20,0)+IF(AND(C14&gt;=①基本情報!$E$5,C14&lt;①基本情報!$E$5+10),③ライフイベント表!$E$21/10,0)+IF(C14=95,③ライフイベント表!$E$23,0))</f>
        <v>0</v>
      </c>
      <c r="Q14" s="27">
        <f t="shared" si="2"/>
        <v>474</v>
      </c>
      <c r="R14" s="28">
        <f t="shared" si="3"/>
        <v>-54</v>
      </c>
      <c r="S14" s="29">
        <f>IFERROR((S13+R14)*(1+IF(①基本情報!$E$10="",0,①基本情報!$E$10)),0)</f>
        <v>-333.85960454769497</v>
      </c>
    </row>
    <row r="15" spans="1:19" ht="18" customHeight="1">
      <c r="A15" s="30">
        <v>7</v>
      </c>
      <c r="B15" s="30">
        <f t="shared" si="0"/>
        <v>2033</v>
      </c>
      <c r="C15" s="30">
        <f>IF(①基本情報!$E$4="","",①基本情報!$E$4+A15)</f>
        <v>47</v>
      </c>
      <c r="D15" s="30">
        <f>IF(①基本情報!$E$4="","",IF(AND(②相談時家計表!$E$6=0,③ライフイベント表!$E$14&lt;=50,①基本情報!$E$6=0),"",C15+①基本情報!$E$6))</f>
        <v>44</v>
      </c>
      <c r="E15" s="31">
        <f>IF(OR(C15="",①基本情報!$E$5=""),0,IF(C15&lt;①基本情報!$E$5,(②相談時家計表!$E$5*12),IF(AND(C15&gt;=①基本情報!$E$5,C15&lt;③ライフイベント表!$E$12,③ライフイベント表!$E$12&gt;0),③ライフイベント表!$E$11,0)))</f>
        <v>300</v>
      </c>
      <c r="F15" s="31">
        <f>IF(OR(C15="",①基本情報!$E$5=""),0,IF(C15&lt;①基本情報!$E$5,(②相談時家計表!$E$6*12),0))</f>
        <v>120</v>
      </c>
      <c r="G15" s="31"/>
      <c r="H15" s="31"/>
      <c r="I15" s="31">
        <f>IF(C15="",0,IF(C15=①基本情報!$E$5,③ライフイベント表!$E$9,0)+IF(C15=①基本情報!$E$5+5,③ライフイベント表!$E$10,0))</f>
        <v>0</v>
      </c>
      <c r="J15" s="32">
        <f t="shared" si="1"/>
        <v>420</v>
      </c>
      <c r="K15" s="31">
        <f>IF(C15="",0,IF(C15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15" s="31">
        <f>IF(C15="",0,IF((②相談時家計表!$E$15*12)=0,0,IF(C15&lt;①基本情報!$E$5,(②相談時家計表!$E$15*12),36)))</f>
        <v>96</v>
      </c>
      <c r="M15" s="31">
        <f>IF(C15="",0,IF(C15&lt;①基本情報!$E$5,(②相談時家計表!$E$20*12),(②相談時家計表!$E$20*12)*0.5))</f>
        <v>6</v>
      </c>
      <c r="N15" s="31">
        <f>IF(OR(C15="",①基本情報!$E$7=0,①基本情報!$E$8=99),0,IF((①基本情報!$E$8+A15)&lt;=③ライフイベント表!$E$6,③ライフイベント表!$E$5*①基本情報!$E$7,0))</f>
        <v>150</v>
      </c>
      <c r="O15" s="31">
        <f>IF(C15="",0,IF(C15&gt;=70,③ライフイベント表!$E$22,(②相談時家計表!$E$21*12)+(②相談時家計表!$E$27*12)))</f>
        <v>6</v>
      </c>
      <c r="P15" s="31">
        <f>IF(C15="",0,IF(AND(MOD(C15-①基本情報!$E$4,7)=0,C15&gt;①基本情報!$E$4,C15&lt;90),③ライフイベント表!$E$18/5,0)+IF(C15=①基本情報!$E$5+1,③ライフイベント表!$E$19,0)+IF(AND(①基本情報!$E$7&gt;0,C15=①基本情報!$E$4+(25-①基本情報!$E$8),①基本情報!$E$8&lt;25),③ライフイベント表!$E$20,0)+IF(AND(C15&gt;=①基本情報!$E$5,C15&lt;①基本情報!$E$5+10),③ライフイベント表!$E$21/10,0)+IF(C15=95,③ライフイベント表!$E$23,0))</f>
        <v>120</v>
      </c>
      <c r="Q15" s="33">
        <f t="shared" si="2"/>
        <v>594</v>
      </c>
      <c r="R15" s="34">
        <f t="shared" si="3"/>
        <v>-174</v>
      </c>
      <c r="S15" s="35">
        <f>IFERROR((S14+R15)*(1+IF(①基本情報!$E$10="",0,①基本情報!$E$10)),0)</f>
        <v>-510.39890257043339</v>
      </c>
    </row>
    <row r="16" spans="1:19" ht="18" customHeight="1">
      <c r="A16" s="4">
        <v>8</v>
      </c>
      <c r="B16" s="4">
        <f t="shared" si="0"/>
        <v>2034</v>
      </c>
      <c r="C16" s="4">
        <f>IF(①基本情報!$E$4="","",①基本情報!$E$4+A16)</f>
        <v>48</v>
      </c>
      <c r="D16" s="4">
        <f>IF(①基本情報!$E$4="","",IF(AND(②相談時家計表!$E$6=0,③ライフイベント表!$E$14&lt;=50,①基本情報!$E$6=0),"",C16+①基本情報!$E$6))</f>
        <v>45</v>
      </c>
      <c r="E16" s="25">
        <f>IF(OR(C16="",①基本情報!$E$5=""),0,IF(C16&lt;①基本情報!$E$5,(②相談時家計表!$E$5*12),IF(AND(C16&gt;=①基本情報!$E$5,C16&lt;③ライフイベント表!$E$12,③ライフイベント表!$E$12&gt;0),③ライフイベント表!$E$11,0)))</f>
        <v>300</v>
      </c>
      <c r="F16" s="25">
        <f>IF(OR(C16="",①基本情報!$E$5=""),0,IF(C16&lt;①基本情報!$E$5,(②相談時家計表!$E$6*12),0))</f>
        <v>120</v>
      </c>
      <c r="G16" s="25"/>
      <c r="H16" s="25"/>
      <c r="I16" s="25">
        <f>IF(C16="",0,IF(C16=①基本情報!$E$5,③ライフイベント表!$E$9,0)+IF(C16=①基本情報!$E$5+5,③ライフイベント表!$E$10,0))</f>
        <v>0</v>
      </c>
      <c r="J16" s="26">
        <f t="shared" si="1"/>
        <v>420</v>
      </c>
      <c r="K16" s="25">
        <f>IF(C16="",0,IF(C16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16" s="25">
        <f>IF(C16="",0,IF((②相談時家計表!$E$15*12)=0,0,IF(C16&lt;①基本情報!$E$5,(②相談時家計表!$E$15*12),36)))</f>
        <v>96</v>
      </c>
      <c r="M16" s="25">
        <f>IF(C16="",0,IF(C16&lt;①基本情報!$E$5,(②相談時家計表!$E$20*12),(②相談時家計表!$E$20*12)*0.5))</f>
        <v>6</v>
      </c>
      <c r="N16" s="25">
        <f>IF(OR(C16="",①基本情報!$E$7=0,①基本情報!$E$8=99),0,IF((①基本情報!$E$8+A16)&lt;=③ライフイベント表!$E$6,③ライフイベント表!$E$5*①基本情報!$E$7,0))</f>
        <v>150</v>
      </c>
      <c r="O16" s="25">
        <f>IF(C16="",0,IF(C16&gt;=70,③ライフイベント表!$E$22,(②相談時家計表!$E$21*12)+(②相談時家計表!$E$27*12)))</f>
        <v>6</v>
      </c>
      <c r="P16" s="25">
        <f>IF(C16="",0,IF(AND(MOD(C16-①基本情報!$E$4,7)=0,C16&gt;①基本情報!$E$4,C16&lt;90),③ライフイベント表!$E$18/5,0)+IF(C16=①基本情報!$E$5+1,③ライフイベント表!$E$19,0)+IF(AND(①基本情報!$E$7&gt;0,C16=①基本情報!$E$4+(25-①基本情報!$E$8),①基本情報!$E$8&lt;25),③ライフイベント表!$E$20,0)+IF(AND(C16&gt;=①基本情報!$E$5,C16&lt;①基本情報!$E$5+10),③ライフイベント表!$E$21/10,0)+IF(C16=95,③ライフイベント表!$E$23,0))</f>
        <v>0</v>
      </c>
      <c r="Q16" s="27">
        <f t="shared" si="2"/>
        <v>474</v>
      </c>
      <c r="R16" s="28">
        <f t="shared" si="3"/>
        <v>-54</v>
      </c>
      <c r="S16" s="29">
        <f>IFERROR((S15+R16)*(1+IF(①基本情報!$E$10="",0,①基本情報!$E$10)),0)</f>
        <v>-567.22089708328554</v>
      </c>
    </row>
    <row r="17" spans="1:19" ht="18" customHeight="1">
      <c r="A17" s="30">
        <v>9</v>
      </c>
      <c r="B17" s="30">
        <f t="shared" si="0"/>
        <v>2035</v>
      </c>
      <c r="C17" s="30">
        <f>IF(①基本情報!$E$4="","",①基本情報!$E$4+A17)</f>
        <v>49</v>
      </c>
      <c r="D17" s="30">
        <f>IF(①基本情報!$E$4="","",IF(AND(②相談時家計表!$E$6=0,③ライフイベント表!$E$14&lt;=50,①基本情報!$E$6=0),"",C17+①基本情報!$E$6))</f>
        <v>46</v>
      </c>
      <c r="E17" s="31">
        <f>IF(OR(C17="",①基本情報!$E$5=""),0,IF(C17&lt;①基本情報!$E$5,(②相談時家計表!$E$5*12),IF(AND(C17&gt;=①基本情報!$E$5,C17&lt;③ライフイベント表!$E$12,③ライフイベント表!$E$12&gt;0),③ライフイベント表!$E$11,0)))</f>
        <v>300</v>
      </c>
      <c r="F17" s="31">
        <f>IF(OR(C17="",①基本情報!$E$5=""),0,IF(C17&lt;①基本情報!$E$5,(②相談時家計表!$E$6*12),0))</f>
        <v>120</v>
      </c>
      <c r="G17" s="31"/>
      <c r="H17" s="31"/>
      <c r="I17" s="31">
        <f>IF(C17="",0,IF(C17=①基本情報!$E$5,③ライフイベント表!$E$9,0)+IF(C17=①基本情報!$E$5+5,③ライフイベント表!$E$10,0))</f>
        <v>0</v>
      </c>
      <c r="J17" s="32">
        <f t="shared" si="1"/>
        <v>420</v>
      </c>
      <c r="K17" s="31">
        <f>IF(C17="",0,IF(C17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17" s="31">
        <f>IF(C17="",0,IF((②相談時家計表!$E$15*12)=0,0,IF(C17&lt;①基本情報!$E$5,(②相談時家計表!$E$15*12),36)))</f>
        <v>96</v>
      </c>
      <c r="M17" s="31">
        <f>IF(C17="",0,IF(C17&lt;①基本情報!$E$5,(②相談時家計表!$E$20*12),(②相談時家計表!$E$20*12)*0.5))</f>
        <v>6</v>
      </c>
      <c r="N17" s="31">
        <f>IF(OR(C17="",①基本情報!$E$7=0,①基本情報!$E$8=99),0,IF((①基本情報!$E$8+A17)&lt;=③ライフイベント表!$E$6,③ライフイベント表!$E$5*①基本情報!$E$7,0))</f>
        <v>150</v>
      </c>
      <c r="O17" s="31">
        <f>IF(C17="",0,IF(C17&gt;=70,③ライフイベント表!$E$22,(②相談時家計表!$E$21*12)+(②相談時家計表!$E$27*12)))</f>
        <v>6</v>
      </c>
      <c r="P17" s="31">
        <f>IF(C17="",0,IF(AND(MOD(C17-①基本情報!$E$4,7)=0,C17&gt;①基本情報!$E$4,C17&lt;90),③ライフイベント表!$E$18/5,0)+IF(C17=①基本情報!$E$5+1,③ライフイベント表!$E$19,0)+IF(AND(①基本情報!$E$7&gt;0,C17=①基本情報!$E$4+(25-①基本情報!$E$8),①基本情報!$E$8&lt;25),③ライフイベント表!$E$20,0)+IF(AND(C17&gt;=①基本情報!$E$5,C17&lt;①基本情報!$E$5+10),③ライフイベント表!$E$21/10,0)+IF(C17=95,③ライフイベント表!$E$23,0))</f>
        <v>0</v>
      </c>
      <c r="Q17" s="33">
        <f t="shared" si="2"/>
        <v>474</v>
      </c>
      <c r="R17" s="34">
        <f t="shared" si="3"/>
        <v>-54</v>
      </c>
      <c r="S17" s="35">
        <f>IFERROR((S16+R17)*(1+IF(①基本情報!$E$10="",0,①基本情報!$E$10)),0)</f>
        <v>-624.32700156870192</v>
      </c>
    </row>
    <row r="18" spans="1:19" ht="18" customHeight="1">
      <c r="A18" s="4">
        <v>10</v>
      </c>
      <c r="B18" s="4">
        <f t="shared" si="0"/>
        <v>2036</v>
      </c>
      <c r="C18" s="4">
        <f>IF(①基本情報!$E$4="","",①基本情報!$E$4+A18)</f>
        <v>50</v>
      </c>
      <c r="D18" s="4">
        <f>IF(①基本情報!$E$4="","",IF(AND(②相談時家計表!$E$6=0,③ライフイベント表!$E$14&lt;=50,①基本情報!$E$6=0),"",C18+①基本情報!$E$6))</f>
        <v>47</v>
      </c>
      <c r="E18" s="25">
        <f>IF(OR(C18="",①基本情報!$E$5=""),0,IF(C18&lt;①基本情報!$E$5,(②相談時家計表!$E$5*12),IF(AND(C18&gt;=①基本情報!$E$5,C18&lt;③ライフイベント表!$E$12,③ライフイベント表!$E$12&gt;0),③ライフイベント表!$E$11,0)))</f>
        <v>300</v>
      </c>
      <c r="F18" s="25">
        <f>IF(OR(C18="",①基本情報!$E$5=""),0,IF(C18&lt;①基本情報!$E$5,(②相談時家計表!$E$6*12),0))</f>
        <v>120</v>
      </c>
      <c r="G18" s="25"/>
      <c r="H18" s="25"/>
      <c r="I18" s="25">
        <f>IF(C18="",0,IF(C18=①基本情報!$E$5,③ライフイベント表!$E$9,0)+IF(C18=①基本情報!$E$5+5,③ライフイベント表!$E$10,0))</f>
        <v>0</v>
      </c>
      <c r="J18" s="26">
        <f t="shared" si="1"/>
        <v>420</v>
      </c>
      <c r="K18" s="25">
        <f>IF(C18="",0,IF(C18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18" s="25">
        <f>IF(C18="",0,IF((②相談時家計表!$E$15*12)=0,0,IF(C18&lt;①基本情報!$E$5,(②相談時家計表!$E$15*12),36)))</f>
        <v>96</v>
      </c>
      <c r="M18" s="25">
        <f>IF(C18="",0,IF(C18&lt;①基本情報!$E$5,(②相談時家計表!$E$20*12),(②相談時家計表!$E$20*12)*0.5))</f>
        <v>6</v>
      </c>
      <c r="N18" s="25">
        <f>IF(OR(C18="",①基本情報!$E$7=0,①基本情報!$E$8=99),0,IF((①基本情報!$E$8+A18)&lt;=③ライフイベント表!$E$6,③ライフイベント表!$E$5*①基本情報!$E$7,0))</f>
        <v>0</v>
      </c>
      <c r="O18" s="25">
        <f>IF(C18="",0,IF(C18&gt;=70,③ライフイベント表!$E$22,(②相談時家計表!$E$21*12)+(②相談時家計表!$E$27*12)))</f>
        <v>6</v>
      </c>
      <c r="P18" s="25">
        <f>IF(C18="",0,IF(AND(MOD(C18-①基本情報!$E$4,7)=0,C18&gt;①基本情報!$E$4,C18&lt;90),③ライフイベント表!$E$18/5,0)+IF(C18=①基本情報!$E$5+1,③ライフイベント表!$E$19,0)+IF(AND(①基本情報!$E$7&gt;0,C18=①基本情報!$E$4+(25-①基本情報!$E$8),①基本情報!$E$8&lt;25),③ライフイベント表!$E$20,0)+IF(AND(C18&gt;=①基本情報!$E$5,C18&lt;①基本情報!$E$5+10),③ライフイベント表!$E$21/10,0)+IF(C18=95,③ライフイベント表!$E$23,0))</f>
        <v>0</v>
      </c>
      <c r="Q18" s="27">
        <f t="shared" si="2"/>
        <v>324</v>
      </c>
      <c r="R18" s="28">
        <f t="shared" si="3"/>
        <v>96</v>
      </c>
      <c r="S18" s="29">
        <f>IFERROR((S17+R18)*(1+IF(①基本情報!$E$10="",0,①基本情報!$E$10)),0)</f>
        <v>-530.96863657654535</v>
      </c>
    </row>
    <row r="19" spans="1:19" ht="18" customHeight="1">
      <c r="A19" s="30">
        <v>11</v>
      </c>
      <c r="B19" s="30">
        <f t="shared" si="0"/>
        <v>2037</v>
      </c>
      <c r="C19" s="30">
        <f>IF(①基本情報!$E$4="","",①基本情報!$E$4+A19)</f>
        <v>51</v>
      </c>
      <c r="D19" s="30">
        <f>IF(①基本情報!$E$4="","",IF(AND(②相談時家計表!$E$6=0,③ライフイベント表!$E$14&lt;=50,①基本情報!$E$6=0),"",C19+①基本情報!$E$6))</f>
        <v>48</v>
      </c>
      <c r="E19" s="31">
        <f>IF(OR(C19="",①基本情報!$E$5=""),0,IF(C19&lt;①基本情報!$E$5,(②相談時家計表!$E$5*12),IF(AND(C19&gt;=①基本情報!$E$5,C19&lt;③ライフイベント表!$E$12,③ライフイベント表!$E$12&gt;0),③ライフイベント表!$E$11,0)))</f>
        <v>300</v>
      </c>
      <c r="F19" s="31">
        <f>IF(OR(C19="",①基本情報!$E$5=""),0,IF(C19&lt;①基本情報!$E$5,(②相談時家計表!$E$6*12),0))</f>
        <v>120</v>
      </c>
      <c r="G19" s="31"/>
      <c r="H19" s="31"/>
      <c r="I19" s="31">
        <f>IF(C19="",0,IF(C19=①基本情報!$E$5,③ライフイベント表!$E$9,0)+IF(C19=①基本情報!$E$5+5,③ライフイベント表!$E$10,0))</f>
        <v>0</v>
      </c>
      <c r="J19" s="32">
        <f t="shared" si="1"/>
        <v>420</v>
      </c>
      <c r="K19" s="31">
        <f>IF(C19="",0,IF(C19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19" s="31">
        <f>IF(C19="",0,IF((②相談時家計表!$E$15*12)=0,0,IF(C19&lt;①基本情報!$E$5,(②相談時家計表!$E$15*12),36)))</f>
        <v>96</v>
      </c>
      <c r="M19" s="31">
        <f>IF(C19="",0,IF(C19&lt;①基本情報!$E$5,(②相談時家計表!$E$20*12),(②相談時家計表!$E$20*12)*0.5))</f>
        <v>6</v>
      </c>
      <c r="N19" s="31">
        <f>IF(OR(C19="",①基本情報!$E$7=0,①基本情報!$E$8=99),0,IF((①基本情報!$E$8+A19)&lt;=③ライフイベント表!$E$6,③ライフイベント表!$E$5*①基本情報!$E$7,0))</f>
        <v>0</v>
      </c>
      <c r="O19" s="31">
        <f>IF(C19="",0,IF(C19&gt;=70,③ライフイベント表!$E$22,(②相談時家計表!$E$21*12)+(②相談時家計表!$E$27*12)))</f>
        <v>6</v>
      </c>
      <c r="P19" s="31">
        <f>IF(C19="",0,IF(AND(MOD(C19-①基本情報!$E$4,7)=0,C19&gt;①基本情報!$E$4,C19&lt;90),③ライフイベント表!$E$18/5,0)+IF(C19=①基本情報!$E$5+1,③ライフイベント表!$E$19,0)+IF(AND(①基本情報!$E$7&gt;0,C19=①基本情報!$E$4+(25-①基本情報!$E$8),①基本情報!$E$8&lt;25),③ライフイベント表!$E$20,0)+IF(AND(C19&gt;=①基本情報!$E$5,C19&lt;①基本情報!$E$5+10),③ライフイベント表!$E$21/10,0)+IF(C19=95,③ライフイベント表!$E$23,0))</f>
        <v>0</v>
      </c>
      <c r="Q19" s="33">
        <f t="shared" si="2"/>
        <v>324</v>
      </c>
      <c r="R19" s="34">
        <f t="shared" si="3"/>
        <v>96</v>
      </c>
      <c r="S19" s="35">
        <f>IFERROR((S18+R19)*(1+IF(①基本情報!$E$10="",0,①基本情報!$E$10)),0)</f>
        <v>-437.14347975942803</v>
      </c>
    </row>
    <row r="20" spans="1:19" ht="18" customHeight="1">
      <c r="A20" s="4">
        <v>12</v>
      </c>
      <c r="B20" s="4">
        <f t="shared" si="0"/>
        <v>2038</v>
      </c>
      <c r="C20" s="4">
        <f>IF(①基本情報!$E$4="","",①基本情報!$E$4+A20)</f>
        <v>52</v>
      </c>
      <c r="D20" s="4">
        <f>IF(①基本情報!$E$4="","",IF(AND(②相談時家計表!$E$6=0,③ライフイベント表!$E$14&lt;=50,①基本情報!$E$6=0),"",C20+①基本情報!$E$6))</f>
        <v>49</v>
      </c>
      <c r="E20" s="25">
        <f>IF(OR(C20="",①基本情報!$E$5=""),0,IF(C20&lt;①基本情報!$E$5,(②相談時家計表!$E$5*12),IF(AND(C20&gt;=①基本情報!$E$5,C20&lt;③ライフイベント表!$E$12,③ライフイベント表!$E$12&gt;0),③ライフイベント表!$E$11,0)))</f>
        <v>300</v>
      </c>
      <c r="F20" s="25">
        <f>IF(OR(C20="",①基本情報!$E$5=""),0,IF(C20&lt;①基本情報!$E$5,(②相談時家計表!$E$6*12),0))</f>
        <v>120</v>
      </c>
      <c r="G20" s="25"/>
      <c r="H20" s="25"/>
      <c r="I20" s="25">
        <f>IF(C20="",0,IF(C20=①基本情報!$E$5,③ライフイベント表!$E$9,0)+IF(C20=①基本情報!$E$5+5,③ライフイベント表!$E$10,0))</f>
        <v>0</v>
      </c>
      <c r="J20" s="26">
        <f t="shared" si="1"/>
        <v>420</v>
      </c>
      <c r="K20" s="25">
        <f>IF(C20="",0,IF(C20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20" s="25">
        <f>IF(C20="",0,IF((②相談時家計表!$E$15*12)=0,0,IF(C20&lt;①基本情報!$E$5,(②相談時家計表!$E$15*12),36)))</f>
        <v>96</v>
      </c>
      <c r="M20" s="25">
        <f>IF(C20="",0,IF(C20&lt;①基本情報!$E$5,(②相談時家計表!$E$20*12),(②相談時家計表!$E$20*12)*0.5))</f>
        <v>6</v>
      </c>
      <c r="N20" s="25">
        <f>IF(OR(C20="",①基本情報!$E$7=0,①基本情報!$E$8=99),0,IF((①基本情報!$E$8+A20)&lt;=③ライフイベント表!$E$6,③ライフイベント表!$E$5*①基本情報!$E$7,0))</f>
        <v>0</v>
      </c>
      <c r="O20" s="25">
        <f>IF(C20="",0,IF(C20&gt;=70,③ライフイベント表!$E$22,(②相談時家計表!$E$21*12)+(②相談時家計表!$E$27*12)))</f>
        <v>6</v>
      </c>
      <c r="P20" s="25">
        <f>IF(C20="",0,IF(AND(MOD(C20-①基本情報!$E$4,7)=0,C20&gt;①基本情報!$E$4,C20&lt;90),③ライフイベント表!$E$18/5,0)+IF(C20=①基本情報!$E$5+1,③ライフイベント表!$E$19,0)+IF(AND(①基本情報!$E$7&gt;0,C20=①基本情報!$E$4+(25-①基本情報!$E$8),①基本情報!$E$8&lt;25),③ライフイベント表!$E$20,0)+IF(AND(C20&gt;=①基本情報!$E$5,C20&lt;①基本情報!$E$5+10),③ライフイベント表!$E$21/10,0)+IF(C20=95,③ライフイベント表!$E$23,0))</f>
        <v>0</v>
      </c>
      <c r="Q20" s="27">
        <f t="shared" si="2"/>
        <v>324</v>
      </c>
      <c r="R20" s="28">
        <f t="shared" si="3"/>
        <v>96</v>
      </c>
      <c r="S20" s="29">
        <f>IFERROR((S19+R20)*(1+IF(①基本情報!$E$10="",0,①基本情報!$E$10)),0)</f>
        <v>-342.84919715822514</v>
      </c>
    </row>
    <row r="21" spans="1:19" ht="18" customHeight="1">
      <c r="A21" s="30">
        <v>13</v>
      </c>
      <c r="B21" s="30">
        <f t="shared" si="0"/>
        <v>2039</v>
      </c>
      <c r="C21" s="30">
        <f>IF(①基本情報!$E$4="","",①基本情報!$E$4+A21)</f>
        <v>53</v>
      </c>
      <c r="D21" s="30">
        <f>IF(①基本情報!$E$4="","",IF(AND(②相談時家計表!$E$6=0,③ライフイベント表!$E$14&lt;=50,①基本情報!$E$6=0),"",C21+①基本情報!$E$6))</f>
        <v>50</v>
      </c>
      <c r="E21" s="31">
        <f>IF(OR(C21="",①基本情報!$E$5=""),0,IF(C21&lt;①基本情報!$E$5,(②相談時家計表!$E$5*12),IF(AND(C21&gt;=①基本情報!$E$5,C21&lt;③ライフイベント表!$E$12,③ライフイベント表!$E$12&gt;0),③ライフイベント表!$E$11,0)))</f>
        <v>300</v>
      </c>
      <c r="F21" s="31">
        <f>IF(OR(C21="",①基本情報!$E$5=""),0,IF(C21&lt;①基本情報!$E$5,(②相談時家計表!$E$6*12),0))</f>
        <v>120</v>
      </c>
      <c r="G21" s="31"/>
      <c r="H21" s="31"/>
      <c r="I21" s="31">
        <f>IF(C21="",0,IF(C21=①基本情報!$E$5,③ライフイベント表!$E$9,0)+IF(C21=①基本情報!$E$5+5,③ライフイベント表!$E$10,0))</f>
        <v>0</v>
      </c>
      <c r="J21" s="32">
        <f t="shared" si="1"/>
        <v>420</v>
      </c>
      <c r="K21" s="31">
        <f>IF(C21="",0,IF(C21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21" s="31">
        <f>IF(C21="",0,IF((②相談時家計表!$E$15*12)=0,0,IF(C21&lt;①基本情報!$E$5,(②相談時家計表!$E$15*12),36)))</f>
        <v>96</v>
      </c>
      <c r="M21" s="31">
        <f>IF(C21="",0,IF(C21&lt;①基本情報!$E$5,(②相談時家計表!$E$20*12),(②相談時家計表!$E$20*12)*0.5))</f>
        <v>6</v>
      </c>
      <c r="N21" s="31">
        <f>IF(OR(C21="",①基本情報!$E$7=0,①基本情報!$E$8=99),0,IF((①基本情報!$E$8+A21)&lt;=③ライフイベント表!$E$6,③ライフイベント表!$E$5*①基本情報!$E$7,0))</f>
        <v>0</v>
      </c>
      <c r="O21" s="31">
        <f>IF(C21="",0,IF(C21&gt;=70,③ライフイベント表!$E$22,(②相談時家計表!$E$21*12)+(②相談時家計表!$E$27*12)))</f>
        <v>6</v>
      </c>
      <c r="P21" s="31">
        <f>IF(C21="",0,IF(AND(MOD(C21-①基本情報!$E$4,7)=0,C21&gt;①基本情報!$E$4,C21&lt;90),③ライフイベント表!$E$18/5,0)+IF(C21=①基本情報!$E$5+1,③ライフイベント表!$E$19,0)+IF(AND(①基本情報!$E$7&gt;0,C21=①基本情報!$E$4+(25-①基本情報!$E$8),①基本情報!$E$8&lt;25),③ライフイベント表!$E$20,0)+IF(AND(C21&gt;=①基本情報!$E$5,C21&lt;①基本情報!$E$5+10),③ライフイベント表!$E$21/10,0)+IF(C21=95,③ライフイベント表!$E$23,0))</f>
        <v>0</v>
      </c>
      <c r="Q21" s="33">
        <f t="shared" si="2"/>
        <v>324</v>
      </c>
      <c r="R21" s="34">
        <f t="shared" si="3"/>
        <v>96</v>
      </c>
      <c r="S21" s="35">
        <f>IFERROR((S20+R21)*(1+IF(①基本情報!$E$10="",0,①基本情報!$E$10)),0)</f>
        <v>-248.08344314401623</v>
      </c>
    </row>
    <row r="22" spans="1:19" ht="18" customHeight="1">
      <c r="A22" s="4">
        <v>14</v>
      </c>
      <c r="B22" s="4">
        <f t="shared" si="0"/>
        <v>2040</v>
      </c>
      <c r="C22" s="4">
        <f>IF(①基本情報!$E$4="","",①基本情報!$E$4+A22)</f>
        <v>54</v>
      </c>
      <c r="D22" s="4">
        <f>IF(①基本情報!$E$4="","",IF(AND(②相談時家計表!$E$6=0,③ライフイベント表!$E$14&lt;=50,①基本情報!$E$6=0),"",C22+①基本情報!$E$6))</f>
        <v>51</v>
      </c>
      <c r="E22" s="25">
        <f>IF(OR(C22="",①基本情報!$E$5=""),0,IF(C22&lt;①基本情報!$E$5,(②相談時家計表!$E$5*12),IF(AND(C22&gt;=①基本情報!$E$5,C22&lt;③ライフイベント表!$E$12,③ライフイベント表!$E$12&gt;0),③ライフイベント表!$E$11,0)))</f>
        <v>300</v>
      </c>
      <c r="F22" s="25">
        <f>IF(OR(C22="",①基本情報!$E$5=""),0,IF(C22&lt;①基本情報!$E$5,(②相談時家計表!$E$6*12),0))</f>
        <v>120</v>
      </c>
      <c r="G22" s="25"/>
      <c r="H22" s="25"/>
      <c r="I22" s="25">
        <f>IF(C22="",0,IF(C22=①基本情報!$E$5,③ライフイベント表!$E$9,0)+IF(C22=①基本情報!$E$5+5,③ライフイベント表!$E$10,0))</f>
        <v>0</v>
      </c>
      <c r="J22" s="26">
        <f t="shared" si="1"/>
        <v>420</v>
      </c>
      <c r="K22" s="25">
        <f>IF(C22="",0,IF(C22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22" s="25">
        <f>IF(C22="",0,IF((②相談時家計表!$E$15*12)=0,0,IF(C22&lt;①基本情報!$E$5,(②相談時家計表!$E$15*12),36)))</f>
        <v>96</v>
      </c>
      <c r="M22" s="25">
        <f>IF(C22="",0,IF(C22&lt;①基本情報!$E$5,(②相談時家計表!$E$20*12),(②相談時家計表!$E$20*12)*0.5))</f>
        <v>6</v>
      </c>
      <c r="N22" s="25">
        <f>IF(OR(C22="",①基本情報!$E$7=0,①基本情報!$E$8=99),0,IF((①基本情報!$E$8+A22)&lt;=③ライフイベント表!$E$6,③ライフイベント表!$E$5*①基本情報!$E$7,0))</f>
        <v>0</v>
      </c>
      <c r="O22" s="25">
        <f>IF(C22="",0,IF(C22&gt;=70,③ライフイベント表!$E$22,(②相談時家計表!$E$21*12)+(②相談時家計表!$E$27*12)))</f>
        <v>6</v>
      </c>
      <c r="P22" s="25">
        <f>IF(C22="",0,IF(AND(MOD(C22-①基本情報!$E$4,7)=0,C22&gt;①基本情報!$E$4,C22&lt;90),③ライフイベント表!$E$18/5,0)+IF(C22=①基本情報!$E$5+1,③ライフイベント表!$E$19,0)+IF(AND(①基本情報!$E$7&gt;0,C22=①基本情報!$E$4+(25-①基本情報!$E$8),①基本情報!$E$8&lt;25),③ライフイベント表!$E$20,0)+IF(AND(C22&gt;=①基本情報!$E$5,C22&lt;①基本情報!$E$5+10),③ライフイベント表!$E$21/10,0)+IF(C22=95,③ライフイベント表!$E$23,0))</f>
        <v>120</v>
      </c>
      <c r="Q22" s="27">
        <f t="shared" si="2"/>
        <v>444</v>
      </c>
      <c r="R22" s="28">
        <f t="shared" si="3"/>
        <v>-24</v>
      </c>
      <c r="S22" s="29">
        <f>IFERROR((S21+R22)*(1+IF(①基本情報!$E$10="",0,①基本情報!$E$10)),0)</f>
        <v>-273.44386035973628</v>
      </c>
    </row>
    <row r="23" spans="1:19" ht="18" customHeight="1">
      <c r="A23" s="30">
        <v>15</v>
      </c>
      <c r="B23" s="30">
        <f t="shared" si="0"/>
        <v>2041</v>
      </c>
      <c r="C23" s="30">
        <f>IF(①基本情報!$E$4="","",①基本情報!$E$4+A23)</f>
        <v>55</v>
      </c>
      <c r="D23" s="30">
        <f>IF(①基本情報!$E$4="","",IF(AND(②相談時家計表!$E$6=0,③ライフイベント表!$E$14&lt;=50,①基本情報!$E$6=0),"",C23+①基本情報!$E$6))</f>
        <v>52</v>
      </c>
      <c r="E23" s="31">
        <f>IF(OR(C23="",①基本情報!$E$5=""),0,IF(C23&lt;①基本情報!$E$5,(②相談時家計表!$E$5*12),IF(AND(C23&gt;=①基本情報!$E$5,C23&lt;③ライフイベント表!$E$12,③ライフイベント表!$E$12&gt;0),③ライフイベント表!$E$11,0)))</f>
        <v>300</v>
      </c>
      <c r="F23" s="31">
        <f>IF(OR(C23="",①基本情報!$E$5=""),0,IF(C23&lt;①基本情報!$E$5,(②相談時家計表!$E$6*12),0))</f>
        <v>120</v>
      </c>
      <c r="G23" s="31"/>
      <c r="H23" s="31"/>
      <c r="I23" s="31">
        <f>IF(C23="",0,IF(C23=①基本情報!$E$5,③ライフイベント表!$E$9,0)+IF(C23=①基本情報!$E$5+5,③ライフイベント表!$E$10,0))</f>
        <v>0</v>
      </c>
      <c r="J23" s="32">
        <f t="shared" si="1"/>
        <v>420</v>
      </c>
      <c r="K23" s="31">
        <f>IF(C23="",0,IF(C23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23" s="31">
        <f>IF(C23="",0,IF((②相談時家計表!$E$15*12)=0,0,IF(C23&lt;①基本情報!$E$5,(②相談時家計表!$E$15*12),36)))</f>
        <v>96</v>
      </c>
      <c r="M23" s="31">
        <f>IF(C23="",0,IF(C23&lt;①基本情報!$E$5,(②相談時家計表!$E$20*12),(②相談時家計表!$E$20*12)*0.5))</f>
        <v>6</v>
      </c>
      <c r="N23" s="31">
        <f>IF(OR(C23="",①基本情報!$E$7=0,①基本情報!$E$8=99),0,IF((①基本情報!$E$8+A23)&lt;=③ライフイベント表!$E$6,③ライフイベント表!$E$5*①基本情報!$E$7,0))</f>
        <v>0</v>
      </c>
      <c r="O23" s="31">
        <f>IF(C23="",0,IF(C23&gt;=70,③ライフイベント表!$E$22,(②相談時家計表!$E$21*12)+(②相談時家計表!$E$27*12)))</f>
        <v>6</v>
      </c>
      <c r="P23" s="31">
        <f>IF(C23="",0,IF(AND(MOD(C23-①基本情報!$E$4,7)=0,C23&gt;①基本情報!$E$4,C23&lt;90),③ライフイベント表!$E$18/5,0)+IF(C23=①基本情報!$E$5+1,③ライフイベント表!$E$19,0)+IF(AND(①基本情報!$E$7&gt;0,C23=①基本情報!$E$4+(25-①基本情報!$E$8),①基本情報!$E$8&lt;25),③ライフイベント表!$E$20,0)+IF(AND(C23&gt;=①基本情報!$E$5,C23&lt;①基本情報!$E$5+10),③ライフイベント表!$E$21/10,0)+IF(C23=95,③ライフイベント表!$E$23,0))</f>
        <v>0</v>
      </c>
      <c r="Q23" s="33">
        <f t="shared" si="2"/>
        <v>324</v>
      </c>
      <c r="R23" s="34">
        <f t="shared" si="3"/>
        <v>96</v>
      </c>
      <c r="S23" s="35">
        <f>IFERROR((S22+R23)*(1+IF(①基本情報!$E$10="",0,①基本情報!$E$10)),0)</f>
        <v>-178.33107966153494</v>
      </c>
    </row>
    <row r="24" spans="1:19" ht="18" customHeight="1">
      <c r="A24" s="4">
        <v>16</v>
      </c>
      <c r="B24" s="4">
        <f t="shared" si="0"/>
        <v>2042</v>
      </c>
      <c r="C24" s="4">
        <f>IF(①基本情報!$E$4="","",①基本情報!$E$4+A24)</f>
        <v>56</v>
      </c>
      <c r="D24" s="4">
        <f>IF(①基本情報!$E$4="","",IF(AND(②相談時家計表!$E$6=0,③ライフイベント表!$E$14&lt;=50,①基本情報!$E$6=0),"",C24+①基本情報!$E$6))</f>
        <v>53</v>
      </c>
      <c r="E24" s="25">
        <f>IF(OR(C24="",①基本情報!$E$5=""),0,IF(C24&lt;①基本情報!$E$5,(②相談時家計表!$E$5*12),IF(AND(C24&gt;=①基本情報!$E$5,C24&lt;③ライフイベント表!$E$12,③ライフイベント表!$E$12&gt;0),③ライフイベント表!$E$11,0)))</f>
        <v>300</v>
      </c>
      <c r="F24" s="25">
        <f>IF(OR(C24="",①基本情報!$E$5=""),0,IF(C24&lt;①基本情報!$E$5,(②相談時家計表!$E$6*12),0))</f>
        <v>120</v>
      </c>
      <c r="G24" s="25"/>
      <c r="H24" s="25"/>
      <c r="I24" s="25">
        <f>IF(C24="",0,IF(C24=①基本情報!$E$5,③ライフイベント表!$E$9,0)+IF(C24=①基本情報!$E$5+5,③ライフイベント表!$E$10,0))</f>
        <v>0</v>
      </c>
      <c r="J24" s="26">
        <f t="shared" si="1"/>
        <v>420</v>
      </c>
      <c r="K24" s="25">
        <f>IF(C24="",0,IF(C24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24" s="25">
        <f>IF(C24="",0,IF((②相談時家計表!$E$15*12)=0,0,IF(C24&lt;①基本情報!$E$5,(②相談時家計表!$E$15*12),36)))</f>
        <v>96</v>
      </c>
      <c r="M24" s="25">
        <f>IF(C24="",0,IF(C24&lt;①基本情報!$E$5,(②相談時家計表!$E$20*12),(②相談時家計表!$E$20*12)*0.5))</f>
        <v>6</v>
      </c>
      <c r="N24" s="25">
        <f>IF(OR(C24="",①基本情報!$E$7=0,①基本情報!$E$8=99),0,IF((①基本情報!$E$8+A24)&lt;=③ライフイベント表!$E$6,③ライフイベント表!$E$5*①基本情報!$E$7,0))</f>
        <v>0</v>
      </c>
      <c r="O24" s="25">
        <f>IF(C24="",0,IF(C24&gt;=70,③ライフイベント表!$E$22,(②相談時家計表!$E$21*12)+(②相談時家計表!$E$27*12)))</f>
        <v>6</v>
      </c>
      <c r="P24" s="25">
        <f>IF(C24="",0,IF(AND(MOD(C24-①基本情報!$E$4,7)=0,C24&gt;①基本情報!$E$4,C24&lt;90),③ライフイベント表!$E$18/5,0)+IF(C24=①基本情報!$E$5+1,③ライフイベント表!$E$19,0)+IF(AND(①基本情報!$E$7&gt;0,C24=①基本情報!$E$4+(25-①基本情報!$E$8),①基本情報!$E$8&lt;25),③ライフイベント表!$E$20,0)+IF(AND(C24&gt;=①基本情報!$E$5,C24&lt;①基本情報!$E$5+10),③ライフイベント表!$E$21/10,0)+IF(C24=95,③ライフイベント表!$E$23,0))</f>
        <v>300</v>
      </c>
      <c r="Q24" s="27">
        <f t="shared" si="2"/>
        <v>624</v>
      </c>
      <c r="R24" s="28">
        <f t="shared" si="3"/>
        <v>-204</v>
      </c>
      <c r="S24" s="29">
        <f>IFERROR((S23+R24)*(1+IF(①基本情報!$E$10="",0,①基本情報!$E$10)),0)</f>
        <v>-384.24273505984257</v>
      </c>
    </row>
    <row r="25" spans="1:19" ht="18" customHeight="1">
      <c r="A25" s="30">
        <v>17</v>
      </c>
      <c r="B25" s="30">
        <f t="shared" si="0"/>
        <v>2043</v>
      </c>
      <c r="C25" s="30">
        <f>IF(①基本情報!$E$4="","",①基本情報!$E$4+A25)</f>
        <v>57</v>
      </c>
      <c r="D25" s="30">
        <f>IF(①基本情報!$E$4="","",IF(AND(②相談時家計表!$E$6=0,③ライフイベント表!$E$14&lt;=50,①基本情報!$E$6=0),"",C25+①基本情報!$E$6))</f>
        <v>54</v>
      </c>
      <c r="E25" s="31">
        <f>IF(OR(C25="",①基本情報!$E$5=""),0,IF(C25&lt;①基本情報!$E$5,(②相談時家計表!$E$5*12),IF(AND(C25&gt;=①基本情報!$E$5,C25&lt;③ライフイベント表!$E$12,③ライフイベント表!$E$12&gt;0),③ライフイベント表!$E$11,0)))</f>
        <v>300</v>
      </c>
      <c r="F25" s="31">
        <f>IF(OR(C25="",①基本情報!$E$5=""),0,IF(C25&lt;①基本情報!$E$5,(②相談時家計表!$E$6*12),0))</f>
        <v>120</v>
      </c>
      <c r="G25" s="31"/>
      <c r="H25" s="31"/>
      <c r="I25" s="31">
        <f>IF(C25="",0,IF(C25=①基本情報!$E$5,③ライフイベント表!$E$9,0)+IF(C25=①基本情報!$E$5+5,③ライフイベント表!$E$10,0))</f>
        <v>0</v>
      </c>
      <c r="J25" s="32">
        <f t="shared" si="1"/>
        <v>420</v>
      </c>
      <c r="K25" s="31">
        <f>IF(C25="",0,IF(C25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25" s="31">
        <f>IF(C25="",0,IF((②相談時家計表!$E$15*12)=0,0,IF(C25&lt;①基本情報!$E$5,(②相談時家計表!$E$15*12),36)))</f>
        <v>96</v>
      </c>
      <c r="M25" s="31">
        <f>IF(C25="",0,IF(C25&lt;①基本情報!$E$5,(②相談時家計表!$E$20*12),(②相談時家計表!$E$20*12)*0.5))</f>
        <v>6</v>
      </c>
      <c r="N25" s="31">
        <f>IF(OR(C25="",①基本情報!$E$7=0,①基本情報!$E$8=99),0,IF((①基本情報!$E$8+A25)&lt;=③ライフイベント表!$E$6,③ライフイベント表!$E$5*①基本情報!$E$7,0))</f>
        <v>0</v>
      </c>
      <c r="O25" s="31">
        <f>IF(C25="",0,IF(C25&gt;=70,③ライフイベント表!$E$22,(②相談時家計表!$E$21*12)+(②相談時家計表!$E$27*12)))</f>
        <v>6</v>
      </c>
      <c r="P25" s="31">
        <f>IF(C25="",0,IF(AND(MOD(C25-①基本情報!$E$4,7)=0,C25&gt;①基本情報!$E$4,C25&lt;90),③ライフイベント表!$E$18/5,0)+IF(C25=①基本情報!$E$5+1,③ライフイベント表!$E$19,0)+IF(AND(①基本情報!$E$7&gt;0,C25=①基本情報!$E$4+(25-①基本情報!$E$8),①基本情報!$E$8&lt;25),③ライフイベント表!$E$20,0)+IF(AND(C25&gt;=①基本情報!$E$5,C25&lt;①基本情報!$E$5+10),③ライフイベント表!$E$21/10,0)+IF(C25=95,③ライフイベント表!$E$23,0))</f>
        <v>0</v>
      </c>
      <c r="Q25" s="33">
        <f t="shared" si="2"/>
        <v>324</v>
      </c>
      <c r="R25" s="34">
        <f t="shared" si="3"/>
        <v>96</v>
      </c>
      <c r="S25" s="35">
        <f>IFERROR((S24+R25)*(1+IF(①基本情報!$E$10="",0,①基本情報!$E$10)),0)</f>
        <v>-289.68394873514177</v>
      </c>
    </row>
    <row r="26" spans="1:19" ht="18" customHeight="1">
      <c r="A26" s="4">
        <v>18</v>
      </c>
      <c r="B26" s="4">
        <f t="shared" si="0"/>
        <v>2044</v>
      </c>
      <c r="C26" s="4">
        <f>IF(①基本情報!$E$4="","",①基本情報!$E$4+A26)</f>
        <v>58</v>
      </c>
      <c r="D26" s="4">
        <f>IF(①基本情報!$E$4="","",IF(AND(②相談時家計表!$E$6=0,③ライフイベント表!$E$14&lt;=50,①基本情報!$E$6=0),"",C26+①基本情報!$E$6))</f>
        <v>55</v>
      </c>
      <c r="E26" s="25">
        <f>IF(OR(C26="",①基本情報!$E$5=""),0,IF(C26&lt;①基本情報!$E$5,(②相談時家計表!$E$5*12),IF(AND(C26&gt;=①基本情報!$E$5,C26&lt;③ライフイベント表!$E$12,③ライフイベント表!$E$12&gt;0),③ライフイベント表!$E$11,0)))</f>
        <v>300</v>
      </c>
      <c r="F26" s="25">
        <f>IF(OR(C26="",①基本情報!$E$5=""),0,IF(C26&lt;①基本情報!$E$5,(②相談時家計表!$E$6*12),0))</f>
        <v>120</v>
      </c>
      <c r="G26" s="25"/>
      <c r="H26" s="25"/>
      <c r="I26" s="25">
        <f>IF(C26="",0,IF(C26=①基本情報!$E$5,③ライフイベント表!$E$9,0)+IF(C26=①基本情報!$E$5+5,③ライフイベント表!$E$10,0))</f>
        <v>0</v>
      </c>
      <c r="J26" s="26">
        <f t="shared" si="1"/>
        <v>420</v>
      </c>
      <c r="K26" s="25">
        <f>IF(C26="",0,IF(C26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26" s="25">
        <f>IF(C26="",0,IF((②相談時家計表!$E$15*12)=0,0,IF(C26&lt;①基本情報!$E$5,(②相談時家計表!$E$15*12),36)))</f>
        <v>96</v>
      </c>
      <c r="M26" s="25">
        <f>IF(C26="",0,IF(C26&lt;①基本情報!$E$5,(②相談時家計表!$E$20*12),(②相談時家計表!$E$20*12)*0.5))</f>
        <v>6</v>
      </c>
      <c r="N26" s="25">
        <f>IF(OR(C26="",①基本情報!$E$7=0,①基本情報!$E$8=99),0,IF((①基本情報!$E$8+A26)&lt;=③ライフイベント表!$E$6,③ライフイベント表!$E$5*①基本情報!$E$7,0))</f>
        <v>0</v>
      </c>
      <c r="O26" s="25">
        <f>IF(C26="",0,IF(C26&gt;=70,③ライフイベント表!$E$22,(②相談時家計表!$E$21*12)+(②相談時家計表!$E$27*12)))</f>
        <v>6</v>
      </c>
      <c r="P26" s="25">
        <f>IF(C26="",0,IF(AND(MOD(C26-①基本情報!$E$4,7)=0,C26&gt;①基本情報!$E$4,C26&lt;90),③ライフイベント表!$E$18/5,0)+IF(C26=①基本情報!$E$5+1,③ライフイベント表!$E$19,0)+IF(AND(①基本情報!$E$7&gt;0,C26=①基本情報!$E$4+(25-①基本情報!$E$8),①基本情報!$E$8&lt;25),③ライフイベント表!$E$20,0)+IF(AND(C26&gt;=①基本情報!$E$5,C26&lt;①基本情報!$E$5+10),③ライフイベント表!$E$21/10,0)+IF(C26=95,③ライフイベント表!$E$23,0))</f>
        <v>0</v>
      </c>
      <c r="Q26" s="27">
        <f t="shared" si="2"/>
        <v>324</v>
      </c>
      <c r="R26" s="28">
        <f t="shared" si="3"/>
        <v>96</v>
      </c>
      <c r="S26" s="29">
        <f>IFERROR((S25+R26)*(1+IF(①基本情報!$E$10="",0,①基本情報!$E$10)),0)</f>
        <v>-194.65236847881746</v>
      </c>
    </row>
    <row r="27" spans="1:19" ht="18" customHeight="1">
      <c r="A27" s="30">
        <v>19</v>
      </c>
      <c r="B27" s="30">
        <f t="shared" si="0"/>
        <v>2045</v>
      </c>
      <c r="C27" s="30">
        <f>IF(①基本情報!$E$4="","",①基本情報!$E$4+A27)</f>
        <v>59</v>
      </c>
      <c r="D27" s="30">
        <f>IF(①基本情報!$E$4="","",IF(AND(②相談時家計表!$E$6=0,③ライフイベント表!$E$14&lt;=50,①基本情報!$E$6=0),"",C27+①基本情報!$E$6))</f>
        <v>56</v>
      </c>
      <c r="E27" s="31">
        <f>IF(OR(C27="",①基本情報!$E$5=""),0,IF(C27&lt;①基本情報!$E$5,(②相談時家計表!$E$5*12),IF(AND(C27&gt;=①基本情報!$E$5,C27&lt;③ライフイベント表!$E$12,③ライフイベント表!$E$12&gt;0),③ライフイベント表!$E$11,0)))</f>
        <v>300</v>
      </c>
      <c r="F27" s="31">
        <f>IF(OR(C27="",①基本情報!$E$5=""),0,IF(C27&lt;①基本情報!$E$5,(②相談時家計表!$E$6*12),0))</f>
        <v>120</v>
      </c>
      <c r="G27" s="31"/>
      <c r="H27" s="31"/>
      <c r="I27" s="31">
        <f>IF(C27="",0,IF(C27=①基本情報!$E$5,③ライフイベント表!$E$9,0)+IF(C27=①基本情報!$E$5+5,③ライフイベント表!$E$10,0))</f>
        <v>0</v>
      </c>
      <c r="J27" s="32">
        <f t="shared" si="1"/>
        <v>420</v>
      </c>
      <c r="K27" s="31">
        <f>IF(C27="",0,IF(C27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216</v>
      </c>
      <c r="L27" s="31">
        <f>IF(C27="",0,IF((②相談時家計表!$E$15*12)=0,0,IF(C27&lt;①基本情報!$E$5,(②相談時家計表!$E$15*12),36)))</f>
        <v>96</v>
      </c>
      <c r="M27" s="31">
        <f>IF(C27="",0,IF(C27&lt;①基本情報!$E$5,(②相談時家計表!$E$20*12),(②相談時家計表!$E$20*12)*0.5))</f>
        <v>6</v>
      </c>
      <c r="N27" s="31">
        <f>IF(OR(C27="",①基本情報!$E$7=0,①基本情報!$E$8=99),0,IF((①基本情報!$E$8+A27)&lt;=③ライフイベント表!$E$6,③ライフイベント表!$E$5*①基本情報!$E$7,0))</f>
        <v>0</v>
      </c>
      <c r="O27" s="31">
        <f>IF(C27="",0,IF(C27&gt;=70,③ライフイベント表!$E$22,(②相談時家計表!$E$21*12)+(②相談時家計表!$E$27*12)))</f>
        <v>6</v>
      </c>
      <c r="P27" s="31">
        <f>IF(C27="",0,IF(AND(MOD(C27-①基本情報!$E$4,7)=0,C27&gt;①基本情報!$E$4,C27&lt;90),③ライフイベント表!$E$18/5,0)+IF(C27=①基本情報!$E$5+1,③ライフイベント表!$E$19,0)+IF(AND(①基本情報!$E$7&gt;0,C27=①基本情報!$E$4+(25-①基本情報!$E$8),①基本情報!$E$8&lt;25),③ライフイベント表!$E$20,0)+IF(AND(C27&gt;=①基本情報!$E$5,C27&lt;①基本情報!$E$5+10),③ライフイベント表!$E$21/10,0)+IF(C27=95,③ライフイベント表!$E$23,0))</f>
        <v>0</v>
      </c>
      <c r="Q27" s="33">
        <f t="shared" si="2"/>
        <v>324</v>
      </c>
      <c r="R27" s="34">
        <f t="shared" si="3"/>
        <v>96</v>
      </c>
      <c r="S27" s="35">
        <f>IFERROR((S26+R27)*(1+IF(①基本情報!$E$10="",0,①基本情報!$E$10)),0)</f>
        <v>-99.145630321211542</v>
      </c>
    </row>
    <row r="28" spans="1:19" ht="18" customHeight="1">
      <c r="A28" s="4">
        <v>20</v>
      </c>
      <c r="B28" s="4">
        <f t="shared" si="0"/>
        <v>2046</v>
      </c>
      <c r="C28" s="4">
        <f>IF(①基本情報!$E$4="","",①基本情報!$E$4+A28)</f>
        <v>60</v>
      </c>
      <c r="D28" s="4">
        <f>IF(①基本情報!$E$4="","",IF(AND(②相談時家計表!$E$6=0,③ライフイベント表!$E$14&lt;=50,①基本情報!$E$6=0),"",C28+①基本情報!$E$6))</f>
        <v>57</v>
      </c>
      <c r="E28" s="25">
        <f>IF(OR(C28="",①基本情報!$E$5=""),0,IF(C28&lt;①基本情報!$E$5,(②相談時家計表!$E$5*12),IF(AND(C28&gt;=①基本情報!$E$5,C28&lt;③ライフイベント表!$E$12,③ライフイベント表!$E$12&gt;0),③ライフイベント表!$E$11,0)))</f>
        <v>200</v>
      </c>
      <c r="F28" s="25">
        <f>IF(OR(C28="",①基本情報!$E$5=""),0,IF(C28&lt;①基本情報!$E$5,(②相談時家計表!$E$6*12),0))</f>
        <v>0</v>
      </c>
      <c r="G28" s="25"/>
      <c r="H28" s="25"/>
      <c r="I28" s="25">
        <f>IF(C28="",0,IF(C28=①基本情報!$E$5,③ライフイベント表!$E$9,0)+IF(C28=①基本情報!$E$5+5,③ライフイベント表!$E$10,0))</f>
        <v>2000</v>
      </c>
      <c r="J28" s="26">
        <f t="shared" si="1"/>
        <v>2200</v>
      </c>
      <c r="K28" s="25">
        <f>IF(C28="",0,IF(C28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28" s="25">
        <f>IF(C28="",0,IF((②相談時家計表!$E$15*12)=0,0,IF(C28&lt;①基本情報!$E$5,(②相談時家計表!$E$15*12),36)))</f>
        <v>36</v>
      </c>
      <c r="M28" s="25">
        <f>IF(C28="",0,IF(C28&lt;①基本情報!$E$5,(②相談時家計表!$E$20*12),(②相談時家計表!$E$20*12)*0.5))</f>
        <v>3</v>
      </c>
      <c r="N28" s="25">
        <f>IF(OR(C28="",①基本情報!$E$7=0,①基本情報!$E$8=99),0,IF((①基本情報!$E$8+A28)&lt;=③ライフイベント表!$E$6,③ライフイベント表!$E$5*①基本情報!$E$7,0))</f>
        <v>0</v>
      </c>
      <c r="O28" s="25">
        <f>IF(C28="",0,IF(C28&gt;=70,③ライフイベント表!$E$22,(②相談時家計表!$E$21*12)+(②相談時家計表!$E$27*12)))</f>
        <v>6</v>
      </c>
      <c r="P28" s="25">
        <f>IF(C28="",0,IF(AND(MOD(C28-①基本情報!$E$4,7)=0,C28&gt;①基本情報!$E$4,C28&lt;90),③ライフイベント表!$E$18/5,0)+IF(C28=①基本情報!$E$5+1,③ライフイベント表!$E$19,0)+IF(AND(①基本情報!$E$7&gt;0,C28=①基本情報!$E$4+(25-①基本情報!$E$8),①基本情報!$E$8&lt;25),③ライフイベント表!$E$20,0)+IF(AND(C28&gt;=①基本情報!$E$5,C28&lt;①基本情報!$E$5+10),③ライフイベント表!$E$21/10,0)+IF(C28=95,③ライフイベント表!$E$23,0))</f>
        <v>30</v>
      </c>
      <c r="Q28" s="27">
        <f t="shared" si="2"/>
        <v>226.2</v>
      </c>
      <c r="R28" s="28">
        <f t="shared" si="3"/>
        <v>1973.8</v>
      </c>
      <c r="S28" s="29">
        <f>IFERROR((S27+R28)*(1+IF(①基本情報!$E$10="",0,①基本情報!$E$10)),0)</f>
        <v>1884.0276415271821</v>
      </c>
    </row>
    <row r="29" spans="1:19" ht="18" customHeight="1">
      <c r="A29" s="30">
        <v>21</v>
      </c>
      <c r="B29" s="30">
        <f t="shared" si="0"/>
        <v>2047</v>
      </c>
      <c r="C29" s="30">
        <f>IF(①基本情報!$E$4="","",①基本情報!$E$4+A29)</f>
        <v>61</v>
      </c>
      <c r="D29" s="30">
        <f>IF(①基本情報!$E$4="","",IF(AND(②相談時家計表!$E$6=0,③ライフイベント表!$E$14&lt;=50,①基本情報!$E$6=0),"",C29+①基本情報!$E$6))</f>
        <v>58</v>
      </c>
      <c r="E29" s="31">
        <f>IF(OR(C29="",①基本情報!$E$5=""),0,IF(C29&lt;①基本情報!$E$5,(②相談時家計表!$E$5*12),IF(AND(C29&gt;=①基本情報!$E$5,C29&lt;③ライフイベント表!$E$12,③ライフイベント表!$E$12&gt;0),③ライフイベント表!$E$11,0)))</f>
        <v>200</v>
      </c>
      <c r="F29" s="31">
        <f>IF(OR(C29="",①基本情報!$E$5=""),0,IF(C29&lt;①基本情報!$E$5,(②相談時家計表!$E$6*12),0))</f>
        <v>0</v>
      </c>
      <c r="G29" s="31"/>
      <c r="H29" s="31"/>
      <c r="I29" s="31">
        <f>IF(C29="",0,IF(C29=①基本情報!$E$5,③ライフイベント表!$E$9,0)+IF(C29=①基本情報!$E$5+5,③ライフイベント表!$E$10,0))</f>
        <v>0</v>
      </c>
      <c r="J29" s="32">
        <f t="shared" si="1"/>
        <v>200</v>
      </c>
      <c r="K29" s="31">
        <f>IF(C29="",0,IF(C29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29" s="31">
        <f>IF(C29="",0,IF((②相談時家計表!$E$15*12)=0,0,IF(C29&lt;①基本情報!$E$5,(②相談時家計表!$E$15*12),36)))</f>
        <v>36</v>
      </c>
      <c r="M29" s="31">
        <f>IF(C29="",0,IF(C29&lt;①基本情報!$E$5,(②相談時家計表!$E$20*12),(②相談時家計表!$E$20*12)*0.5))</f>
        <v>3</v>
      </c>
      <c r="N29" s="31">
        <f>IF(OR(C29="",①基本情報!$E$7=0,①基本情報!$E$8=99),0,IF((①基本情報!$E$8+A29)&lt;=③ライフイベント表!$E$6,③ライフイベント表!$E$5*①基本情報!$E$7,0))</f>
        <v>0</v>
      </c>
      <c r="O29" s="31">
        <f>IF(C29="",0,IF(C29&gt;=70,③ライフイベント表!$E$22,(②相談時家計表!$E$21*12)+(②相談時家計表!$E$27*12)))</f>
        <v>6</v>
      </c>
      <c r="P29" s="31">
        <f>IF(C29="",0,IF(AND(MOD(C29-①基本情報!$E$4,7)=0,C29&gt;①基本情報!$E$4,C29&lt;90),③ライフイベント表!$E$18/5,0)+IF(C29=①基本情報!$E$5+1,③ライフイベント表!$E$19,0)+IF(AND(①基本情報!$E$7&gt;0,C29=①基本情報!$E$4+(25-①基本情報!$E$8),①基本情報!$E$8&lt;25),③ライフイベント表!$E$20,0)+IF(AND(C29&gt;=①基本情報!$E$5,C29&lt;①基本情報!$E$5+10),③ライフイベント表!$E$21/10,0)+IF(C29=95,③ライフイベント表!$E$23,0))</f>
        <v>150</v>
      </c>
      <c r="Q29" s="33">
        <f t="shared" si="2"/>
        <v>346.2</v>
      </c>
      <c r="R29" s="34">
        <f t="shared" si="3"/>
        <v>-146.19999999999999</v>
      </c>
      <c r="S29" s="35">
        <f>IFERROR((S28+R29)*(1+IF(①基本情報!$E$10="",0,①基本情報!$E$10)),0)</f>
        <v>1746.5167797348179</v>
      </c>
    </row>
    <row r="30" spans="1:19" ht="18" customHeight="1">
      <c r="A30" s="4">
        <v>22</v>
      </c>
      <c r="B30" s="4">
        <f t="shared" si="0"/>
        <v>2048</v>
      </c>
      <c r="C30" s="4">
        <f>IF(①基本情報!$E$4="","",①基本情報!$E$4+A30)</f>
        <v>62</v>
      </c>
      <c r="D30" s="4">
        <f>IF(①基本情報!$E$4="","",IF(AND(②相談時家計表!$E$6=0,③ライフイベント表!$E$14&lt;=50,①基本情報!$E$6=0),"",C30+①基本情報!$E$6))</f>
        <v>59</v>
      </c>
      <c r="E30" s="25">
        <f>IF(OR(C30="",①基本情報!$E$5=""),0,IF(C30&lt;①基本情報!$E$5,(②相談時家計表!$E$5*12),IF(AND(C30&gt;=①基本情報!$E$5,C30&lt;③ライフイベント表!$E$12,③ライフイベント表!$E$12&gt;0),③ライフイベント表!$E$11,0)))</f>
        <v>200</v>
      </c>
      <c r="F30" s="25">
        <f>IF(OR(C30="",①基本情報!$E$5=""),0,IF(C30&lt;①基本情報!$E$5,(②相談時家計表!$E$6*12),0))</f>
        <v>0</v>
      </c>
      <c r="G30" s="25"/>
      <c r="H30" s="25"/>
      <c r="I30" s="25">
        <f>IF(C30="",0,IF(C30=①基本情報!$E$5,③ライフイベント表!$E$9,0)+IF(C30=①基本情報!$E$5+5,③ライフイベント表!$E$10,0))</f>
        <v>0</v>
      </c>
      <c r="J30" s="26">
        <f t="shared" si="1"/>
        <v>200</v>
      </c>
      <c r="K30" s="25">
        <f>IF(C30="",0,IF(C30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30" s="25">
        <f>IF(C30="",0,IF((②相談時家計表!$E$15*12)=0,0,IF(C30&lt;①基本情報!$E$5,(②相談時家計表!$E$15*12),36)))</f>
        <v>36</v>
      </c>
      <c r="M30" s="25">
        <f>IF(C30="",0,IF(C30&lt;①基本情報!$E$5,(②相談時家計表!$E$20*12),(②相談時家計表!$E$20*12)*0.5))</f>
        <v>3</v>
      </c>
      <c r="N30" s="25">
        <f>IF(OR(C30="",①基本情報!$E$7=0,①基本情報!$E$8=99),0,IF((①基本情報!$E$8+A30)&lt;=③ライフイベント表!$E$6,③ライフイベント表!$E$5*①基本情報!$E$7,0))</f>
        <v>0</v>
      </c>
      <c r="O30" s="25">
        <f>IF(C30="",0,IF(C30&gt;=70,③ライフイベント表!$E$22,(②相談時家計表!$E$21*12)+(②相談時家計表!$E$27*12)))</f>
        <v>6</v>
      </c>
      <c r="P30" s="25">
        <f>IF(C30="",0,IF(AND(MOD(C30-①基本情報!$E$4,7)=0,C30&gt;①基本情報!$E$4,C30&lt;90),③ライフイベント表!$E$18/5,0)+IF(C30=①基本情報!$E$5+1,③ライフイベント表!$E$19,0)+IF(AND(①基本情報!$E$7&gt;0,C30=①基本情報!$E$4+(25-①基本情報!$E$8),①基本情報!$E$8&lt;25),③ライフイベント表!$E$20,0)+IF(AND(C30&gt;=①基本情報!$E$5,C30&lt;①基本情報!$E$5+10),③ライフイベント表!$E$21/10,0)+IF(C30=95,③ライフイベント表!$E$23,0))</f>
        <v>30</v>
      </c>
      <c r="Q30" s="27">
        <f t="shared" si="2"/>
        <v>226.2</v>
      </c>
      <c r="R30" s="28">
        <f t="shared" si="3"/>
        <v>-26.199999999999989</v>
      </c>
      <c r="S30" s="29">
        <f>IFERROR((S29+R30)*(1+IF(①基本情報!$E$10="",0,①基本情報!$E$10)),0)</f>
        <v>1728.9183636334917</v>
      </c>
    </row>
    <row r="31" spans="1:19" ht="18" customHeight="1">
      <c r="A31" s="30">
        <v>23</v>
      </c>
      <c r="B31" s="30">
        <f t="shared" si="0"/>
        <v>2049</v>
      </c>
      <c r="C31" s="30">
        <f>IF(①基本情報!$E$4="","",①基本情報!$E$4+A31)</f>
        <v>63</v>
      </c>
      <c r="D31" s="30">
        <f>IF(①基本情報!$E$4="","",IF(AND(②相談時家計表!$E$6=0,③ライフイベント表!$E$14&lt;=50,①基本情報!$E$6=0),"",C31+①基本情報!$E$6))</f>
        <v>60</v>
      </c>
      <c r="E31" s="31">
        <f>IF(OR(C31="",①基本情報!$E$5=""),0,IF(C31&lt;①基本情報!$E$5,(②相談時家計表!$E$5*12),IF(AND(C31&gt;=①基本情報!$E$5,C31&lt;③ライフイベント表!$E$12,③ライフイベント表!$E$12&gt;0),③ライフイベント表!$E$11,0)))</f>
        <v>200</v>
      </c>
      <c r="F31" s="31">
        <f>IF(OR(C31="",①基本情報!$E$5=""),0,IF(C31&lt;①基本情報!$E$5,(②相談時家計表!$E$6*12),0))</f>
        <v>0</v>
      </c>
      <c r="G31" s="31"/>
      <c r="H31" s="31"/>
      <c r="I31" s="31">
        <f>IF(C31="",0,IF(C31=①基本情報!$E$5,③ライフイベント表!$E$9,0)+IF(C31=①基本情報!$E$5+5,③ライフイベント表!$E$10,0))</f>
        <v>0</v>
      </c>
      <c r="J31" s="32">
        <f t="shared" si="1"/>
        <v>200</v>
      </c>
      <c r="K31" s="31">
        <f>IF(C31="",0,IF(C31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31" s="31">
        <f>IF(C31="",0,IF((②相談時家計表!$E$15*12)=0,0,IF(C31&lt;①基本情報!$E$5,(②相談時家計表!$E$15*12),36)))</f>
        <v>36</v>
      </c>
      <c r="M31" s="31">
        <f>IF(C31="",0,IF(C31&lt;①基本情報!$E$5,(②相談時家計表!$E$20*12),(②相談時家計表!$E$20*12)*0.5))</f>
        <v>3</v>
      </c>
      <c r="N31" s="31">
        <f>IF(OR(C31="",①基本情報!$E$7=0,①基本情報!$E$8=99),0,IF((①基本情報!$E$8+A31)&lt;=③ライフイベント表!$E$6,③ライフイベント表!$E$5*①基本情報!$E$7,0))</f>
        <v>0</v>
      </c>
      <c r="O31" s="31">
        <f>IF(C31="",0,IF(C31&gt;=70,③ライフイベント表!$E$22,(②相談時家計表!$E$21*12)+(②相談時家計表!$E$27*12)))</f>
        <v>6</v>
      </c>
      <c r="P31" s="31">
        <f>IF(C31="",0,IF(AND(MOD(C31-①基本情報!$E$4,7)=0,C31&gt;①基本情報!$E$4,C31&lt;90),③ライフイベント表!$E$18/5,0)+IF(C31=①基本情報!$E$5+1,③ライフイベント表!$E$19,0)+IF(AND(①基本情報!$E$7&gt;0,C31=①基本情報!$E$4+(25-①基本情報!$E$8),①基本情報!$E$8&lt;25),③ライフイベント表!$E$20,0)+IF(AND(C31&gt;=①基本情報!$E$5,C31&lt;①基本情報!$E$5+10),③ライフイベント表!$E$21/10,0)+IF(C31=95,③ライフイベント表!$E$23,0))</f>
        <v>30</v>
      </c>
      <c r="Q31" s="33">
        <f t="shared" si="2"/>
        <v>226.2</v>
      </c>
      <c r="R31" s="34">
        <f t="shared" si="3"/>
        <v>-26.199999999999989</v>
      </c>
      <c r="S31" s="35">
        <f>IFERROR((S30+R31)*(1+IF(①基本情報!$E$10="",0,①基本情報!$E$10)),0)</f>
        <v>1711.2319554516589</v>
      </c>
    </row>
    <row r="32" spans="1:19" ht="18" customHeight="1">
      <c r="A32" s="4">
        <v>24</v>
      </c>
      <c r="B32" s="4">
        <f t="shared" si="0"/>
        <v>2050</v>
      </c>
      <c r="C32" s="4">
        <f>IF(①基本情報!$E$4="","",①基本情報!$E$4+A32)</f>
        <v>64</v>
      </c>
      <c r="D32" s="4">
        <f>IF(①基本情報!$E$4="","",IF(AND(②相談時家計表!$E$6=0,③ライフイベント表!$E$14&lt;=50,①基本情報!$E$6=0),"",C32+①基本情報!$E$6))</f>
        <v>61</v>
      </c>
      <c r="E32" s="25">
        <f>IF(OR(C32="",①基本情報!$E$5=""),0,IF(C32&lt;①基本情報!$E$5,(②相談時家計表!$E$5*12),IF(AND(C32&gt;=①基本情報!$E$5,C32&lt;③ライフイベント表!$E$12,③ライフイベント表!$E$12&gt;0),③ライフイベント表!$E$11,0)))</f>
        <v>200</v>
      </c>
      <c r="F32" s="25">
        <f>IF(OR(C32="",①基本情報!$E$5=""),0,IF(C32&lt;①基本情報!$E$5,(②相談時家計表!$E$6*12),0))</f>
        <v>0</v>
      </c>
      <c r="G32" s="25"/>
      <c r="H32" s="25"/>
      <c r="I32" s="25">
        <f>IF(C32="",0,IF(C32=①基本情報!$E$5,③ライフイベント表!$E$9,0)+IF(C32=①基本情報!$E$5+5,③ライフイベント表!$E$10,0))</f>
        <v>0</v>
      </c>
      <c r="J32" s="26">
        <f t="shared" si="1"/>
        <v>200</v>
      </c>
      <c r="K32" s="25">
        <f>IF(C32="",0,IF(C32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32" s="25">
        <f>IF(C32="",0,IF((②相談時家計表!$E$15*12)=0,0,IF(C32&lt;①基本情報!$E$5,(②相談時家計表!$E$15*12),36)))</f>
        <v>36</v>
      </c>
      <c r="M32" s="25">
        <f>IF(C32="",0,IF(C32&lt;①基本情報!$E$5,(②相談時家計表!$E$20*12),(②相談時家計表!$E$20*12)*0.5))</f>
        <v>3</v>
      </c>
      <c r="N32" s="25">
        <f>IF(OR(C32="",①基本情報!$E$7=0,①基本情報!$E$8=99),0,IF((①基本情報!$E$8+A32)&lt;=③ライフイベント表!$E$6,③ライフイベント表!$E$5*①基本情報!$E$7,0))</f>
        <v>0</v>
      </c>
      <c r="O32" s="25">
        <f>IF(C32="",0,IF(C32&gt;=70,③ライフイベント表!$E$22,(②相談時家計表!$E$21*12)+(②相談時家計表!$E$27*12)))</f>
        <v>6</v>
      </c>
      <c r="P32" s="25">
        <f>IF(C32="",0,IF(AND(MOD(C32-①基本情報!$E$4,7)=0,C32&gt;①基本情報!$E$4,C32&lt;90),③ライフイベント表!$E$18/5,0)+IF(C32=①基本情報!$E$5+1,③ライフイベント表!$E$19,0)+IF(AND(①基本情報!$E$7&gt;0,C32=①基本情報!$E$4+(25-①基本情報!$E$8),①基本情報!$E$8&lt;25),③ライフイベント表!$E$20,0)+IF(AND(C32&gt;=①基本情報!$E$5,C32&lt;①基本情報!$E$5+10),③ライフイベント表!$E$21/10,0)+IF(C32=95,③ライフイベント表!$E$23,0))</f>
        <v>30</v>
      </c>
      <c r="Q32" s="27">
        <f t="shared" si="2"/>
        <v>226.2</v>
      </c>
      <c r="R32" s="28">
        <f t="shared" si="3"/>
        <v>-26.199999999999989</v>
      </c>
      <c r="S32" s="29">
        <f>IFERROR((S31+R32)*(1+IF(①基本情報!$E$10="",0,①基本情報!$E$10)),0)</f>
        <v>1693.457115228917</v>
      </c>
    </row>
    <row r="33" spans="1:19" ht="18" customHeight="1">
      <c r="A33" s="30">
        <v>25</v>
      </c>
      <c r="B33" s="30">
        <f t="shared" si="0"/>
        <v>2051</v>
      </c>
      <c r="C33" s="30">
        <f>IF(①基本情報!$E$4="","",①基本情報!$E$4+A33)</f>
        <v>65</v>
      </c>
      <c r="D33" s="30">
        <f>IF(①基本情報!$E$4="","",IF(AND(②相談時家計表!$E$6=0,③ライフイベント表!$E$14&lt;=50,①基本情報!$E$6=0),"",C33+①基本情報!$E$6))</f>
        <v>62</v>
      </c>
      <c r="E33" s="31">
        <f>IF(OR(C33="",①基本情報!$E$5=""),0,IF(C33&lt;①基本情報!$E$5,(②相談時家計表!$E$5*12),IF(AND(C33&gt;=①基本情報!$E$5,C33&lt;③ライフイベント表!$E$12,③ライフイベント表!$E$12&gt;0),③ライフイベント表!$E$11,0)))</f>
        <v>200</v>
      </c>
      <c r="F33" s="31">
        <f>IF(OR(C33="",①基本情報!$E$5=""),0,IF(C33&lt;①基本情報!$E$5,(②相談時家計表!$E$6*12),0))</f>
        <v>0</v>
      </c>
      <c r="G33" s="31">
        <f>IF(OR(C33="",③ライフイベント表!$E$15=""),0,IF(C33&gt;=③ライフイベント表!$E$15,③ライフイベント表!$E$13,0))</f>
        <v>0</v>
      </c>
      <c r="H33" s="31"/>
      <c r="I33" s="31">
        <f>IF(C33="",0,IF(C33=①基本情報!$E$5,③ライフイベント表!$E$9,0)+IF(C33=①基本情報!$E$5+5,③ライフイベント表!$E$10,0))</f>
        <v>0</v>
      </c>
      <c r="J33" s="32">
        <f t="shared" si="1"/>
        <v>200</v>
      </c>
      <c r="K33" s="31">
        <f>IF(C33="",0,IF(C33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33" s="31">
        <f>IF(C33="",0,IF((②相談時家計表!$E$15*12)=0,0,IF(C33&lt;①基本情報!$E$5,(②相談時家計表!$E$15*12),36)))</f>
        <v>36</v>
      </c>
      <c r="M33" s="31">
        <f>IF(C33="",0,IF(C33&lt;①基本情報!$E$5,(②相談時家計表!$E$20*12),(②相談時家計表!$E$20*12)*0.5))</f>
        <v>3</v>
      </c>
      <c r="N33" s="31">
        <f>IF(OR(C33="",①基本情報!$E$7=0,①基本情報!$E$8=99),0,IF((①基本情報!$E$8+A33)&lt;=③ライフイベント表!$E$6,③ライフイベント表!$E$5*①基本情報!$E$7,0))</f>
        <v>0</v>
      </c>
      <c r="O33" s="31">
        <f>IF(C33="",0,IF(C33&gt;=70,③ライフイベント表!$E$22,(②相談時家計表!$E$21*12)+(②相談時家計表!$E$27*12)))</f>
        <v>6</v>
      </c>
      <c r="P33" s="31">
        <f>IF(C33="",0,IF(AND(MOD(C33-①基本情報!$E$4,7)=0,C33&gt;①基本情報!$E$4,C33&lt;90),③ライフイベント表!$E$18/5,0)+IF(C33=①基本情報!$E$5+1,③ライフイベント表!$E$19,0)+IF(AND(①基本情報!$E$7&gt;0,C33=①基本情報!$E$4+(25-①基本情報!$E$8),①基本情報!$E$8&lt;25),③ライフイベント表!$E$20,0)+IF(AND(C33&gt;=①基本情報!$E$5,C33&lt;①基本情報!$E$5+10),③ライフイベント表!$E$21/10,0)+IF(C33=95,③ライフイベント表!$E$23,0))</f>
        <v>30</v>
      </c>
      <c r="Q33" s="33">
        <f t="shared" si="2"/>
        <v>226.2</v>
      </c>
      <c r="R33" s="34">
        <f t="shared" si="3"/>
        <v>-26.199999999999989</v>
      </c>
      <c r="S33" s="35">
        <f>IFERROR((S32+R33)*(1+IF(①基本情報!$E$10="",0,①基本情報!$E$10)),0)</f>
        <v>1675.5934008050615</v>
      </c>
    </row>
    <row r="34" spans="1:19" ht="18" customHeight="1">
      <c r="A34" s="4">
        <v>26</v>
      </c>
      <c r="B34" s="4">
        <f t="shared" si="0"/>
        <v>2052</v>
      </c>
      <c r="C34" s="4">
        <f>IF(①基本情報!$E$4="","",①基本情報!$E$4+A34)</f>
        <v>66</v>
      </c>
      <c r="D34" s="4">
        <f>IF(①基本情報!$E$4="","",IF(AND(②相談時家計表!$E$6=0,③ライフイベント表!$E$14&lt;=50,①基本情報!$E$6=0),"",C34+①基本情報!$E$6))</f>
        <v>63</v>
      </c>
      <c r="E34" s="25">
        <f>IF(OR(C34="",①基本情報!$E$5=""),0,IF(C34&lt;①基本情報!$E$5,(②相談時家計表!$E$5*12),IF(AND(C34&gt;=①基本情報!$E$5,C34&lt;③ライフイベント表!$E$12,③ライフイベント表!$E$12&gt;0),③ライフイベント表!$E$11,0)))</f>
        <v>200</v>
      </c>
      <c r="F34" s="25">
        <f>IF(OR(C34="",①基本情報!$E$5=""),0,IF(C34&lt;①基本情報!$E$5,(②相談時家計表!$E$6*12),0))</f>
        <v>0</v>
      </c>
      <c r="G34" s="25">
        <f>IF(OR(C34="",③ライフイベント表!$E$15=""),0,IF(C34&gt;=③ライフイベント表!$E$15,③ライフイベント表!$E$13,0))</f>
        <v>0</v>
      </c>
      <c r="H34" s="25"/>
      <c r="I34" s="25">
        <f>IF(C34="",0,IF(C34=①基本情報!$E$5,③ライフイベント表!$E$9,0)+IF(C34=①基本情報!$E$5+5,③ライフイベント表!$E$10,0))</f>
        <v>0</v>
      </c>
      <c r="J34" s="26">
        <f t="shared" si="1"/>
        <v>200</v>
      </c>
      <c r="K34" s="25">
        <f>IF(C34="",0,IF(C34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34" s="25">
        <f>IF(C34="",0,IF((②相談時家計表!$E$15*12)=0,0,IF(C34&lt;①基本情報!$E$5,(②相談時家計表!$E$15*12),36)))</f>
        <v>36</v>
      </c>
      <c r="M34" s="25">
        <f>IF(C34="",0,IF(C34&lt;①基本情報!$E$5,(②相談時家計表!$E$20*12),(②相談時家計表!$E$20*12)*0.5))</f>
        <v>3</v>
      </c>
      <c r="N34" s="25">
        <f>IF(OR(C34="",①基本情報!$E$7=0,①基本情報!$E$8=99),0,IF((①基本情報!$E$8+A34)&lt;=③ライフイベント表!$E$6,③ライフイベント表!$E$5*①基本情報!$E$7,0))</f>
        <v>0</v>
      </c>
      <c r="O34" s="25">
        <f>IF(C34="",0,IF(C34&gt;=70,③ライフイベント表!$E$22,(②相談時家計表!$E$21*12)+(②相談時家計表!$E$27*12)))</f>
        <v>6</v>
      </c>
      <c r="P34" s="25">
        <f>IF(C34="",0,IF(AND(MOD(C34-①基本情報!$E$4,7)=0,C34&gt;①基本情報!$E$4,C34&lt;90),③ライフイベント表!$E$18/5,0)+IF(C34=①基本情報!$E$5+1,③ライフイベント表!$E$19,0)+IF(AND(①基本情報!$E$7&gt;0,C34=①基本情報!$E$4+(25-①基本情報!$E$8),①基本情報!$E$8&lt;25),③ライフイベント表!$E$20,0)+IF(AND(C34&gt;=①基本情報!$E$5,C34&lt;①基本情報!$E$5+10),③ライフイベント表!$E$21/10,0)+IF(C34=95,③ライフイベント表!$E$23,0))</f>
        <v>30</v>
      </c>
      <c r="Q34" s="27">
        <f t="shared" si="2"/>
        <v>226.2</v>
      </c>
      <c r="R34" s="28">
        <f t="shared" si="3"/>
        <v>-26.199999999999989</v>
      </c>
      <c r="S34" s="29">
        <f>IFERROR((S33+R34)*(1+IF(①基本情報!$E$10="",0,①基本情報!$E$10)),0)</f>
        <v>1657.6403678090867</v>
      </c>
    </row>
    <row r="35" spans="1:19" ht="18" customHeight="1">
      <c r="A35" s="30">
        <v>27</v>
      </c>
      <c r="B35" s="30">
        <f t="shared" si="0"/>
        <v>2053</v>
      </c>
      <c r="C35" s="30">
        <f>IF(①基本情報!$E$4="","",①基本情報!$E$4+A35)</f>
        <v>67</v>
      </c>
      <c r="D35" s="30">
        <f>IF(①基本情報!$E$4="","",IF(AND(②相談時家計表!$E$6=0,③ライフイベント表!$E$14&lt;=50,①基本情報!$E$6=0),"",C35+①基本情報!$E$6))</f>
        <v>64</v>
      </c>
      <c r="E35" s="31">
        <f>IF(OR(C35="",①基本情報!$E$5=""),0,IF(C35&lt;①基本情報!$E$5,(②相談時家計表!$E$5*12),IF(AND(C35&gt;=①基本情報!$E$5,C35&lt;③ライフイベント表!$E$12,③ライフイベント表!$E$12&gt;0),③ライフイベント表!$E$11,0)))</f>
        <v>200</v>
      </c>
      <c r="F35" s="31">
        <f>IF(OR(C35="",①基本情報!$E$5=""),0,IF(C35&lt;①基本情報!$E$5,(②相談時家計表!$E$6*12),0))</f>
        <v>0</v>
      </c>
      <c r="G35" s="31">
        <f>IF(OR(C35="",③ライフイベント表!$E$15=""),0,IF(C35&gt;=③ライフイベント表!$E$15,③ライフイベント表!$E$13,0))</f>
        <v>0</v>
      </c>
      <c r="H35" s="31"/>
      <c r="I35" s="31">
        <f>IF(C35="",0,IF(C35=①基本情報!$E$5,③ライフイベント表!$E$9,0)+IF(C35=①基本情報!$E$5+5,③ライフイベント表!$E$10,0))</f>
        <v>0</v>
      </c>
      <c r="J35" s="32">
        <f t="shared" si="1"/>
        <v>200</v>
      </c>
      <c r="K35" s="31">
        <f>IF(C35="",0,IF(C35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35" s="31">
        <f>IF(C35="",0,IF((②相談時家計表!$E$15*12)=0,0,IF(C35&lt;①基本情報!$E$5,(②相談時家計表!$E$15*12),36)))</f>
        <v>36</v>
      </c>
      <c r="M35" s="31">
        <f>IF(C35="",0,IF(C35&lt;①基本情報!$E$5,(②相談時家計表!$E$20*12),(②相談時家計表!$E$20*12)*0.5))</f>
        <v>3</v>
      </c>
      <c r="N35" s="31">
        <f>IF(OR(C35="",①基本情報!$E$7=0,①基本情報!$E$8=99),0,IF((①基本情報!$E$8+A35)&lt;=③ライフイベント表!$E$6,③ライフイベント表!$E$5*①基本情報!$E$7,0))</f>
        <v>0</v>
      </c>
      <c r="O35" s="31">
        <f>IF(C35="",0,IF(C35&gt;=70,③ライフイベント表!$E$22,(②相談時家計表!$E$21*12)+(②相談時家計表!$E$27*12)))</f>
        <v>6</v>
      </c>
      <c r="P35" s="31">
        <f>IF(C35="",0,IF(AND(MOD(C35-①基本情報!$E$4,7)=0,C35&gt;①基本情報!$E$4,C35&lt;90),③ライフイベント表!$E$18/5,0)+IF(C35=①基本情報!$E$5+1,③ライフイベント表!$E$19,0)+IF(AND(①基本情報!$E$7&gt;0,C35=①基本情報!$E$4+(25-①基本情報!$E$8),①基本情報!$E$8&lt;25),③ライフイベント表!$E$20,0)+IF(AND(C35&gt;=①基本情報!$E$5,C35&lt;①基本情報!$E$5+10),③ライフイベント表!$E$21/10,0)+IF(C35=95,③ライフイベント表!$E$23,0))</f>
        <v>30</v>
      </c>
      <c r="Q35" s="33">
        <f t="shared" si="2"/>
        <v>226.2</v>
      </c>
      <c r="R35" s="34">
        <f t="shared" si="3"/>
        <v>-26.199999999999989</v>
      </c>
      <c r="S35" s="35">
        <f>IFERROR((S34+R35)*(1+IF(①基本情報!$E$10="",0,①基本情報!$E$10)),0)</f>
        <v>1639.5975696481319</v>
      </c>
    </row>
    <row r="36" spans="1:19" ht="18" customHeight="1">
      <c r="A36" s="4">
        <v>28</v>
      </c>
      <c r="B36" s="4">
        <f t="shared" si="0"/>
        <v>2054</v>
      </c>
      <c r="C36" s="4">
        <f>IF(①基本情報!$E$4="","",①基本情報!$E$4+A36)</f>
        <v>68</v>
      </c>
      <c r="D36" s="4">
        <f>IF(①基本情報!$E$4="","",IF(AND(②相談時家計表!$E$6=0,③ライフイベント表!$E$14&lt;=50,①基本情報!$E$6=0),"",C36+①基本情報!$E$6))</f>
        <v>65</v>
      </c>
      <c r="E36" s="25">
        <f>IF(OR(C36="",①基本情報!$E$5=""),0,IF(C36&lt;①基本情報!$E$5,(②相談時家計表!$E$5*12),IF(AND(C36&gt;=①基本情報!$E$5,C36&lt;③ライフイベント表!$E$12,③ライフイベント表!$E$12&gt;0),③ライフイベント表!$E$11,0)))</f>
        <v>200</v>
      </c>
      <c r="F36" s="25">
        <f>IF(OR(C36="",①基本情報!$E$5=""),0,IF(C36&lt;①基本情報!$E$5,(②相談時家計表!$E$6*12),0))</f>
        <v>0</v>
      </c>
      <c r="G36" s="25">
        <f>IF(OR(C36="",③ライフイベント表!$E$15=""),0,IF(C36&gt;=③ライフイベント表!$E$15,③ライフイベント表!$E$13,0))</f>
        <v>150</v>
      </c>
      <c r="H36" s="25">
        <f>IF(OR(D36="",D36=""),0,IF(AND(ISNUMBER(D36),D36&gt;=③ライフイベント表!$E$15),③ライフイベント表!$E$14,0))</f>
        <v>0</v>
      </c>
      <c r="I36" s="25">
        <f>IF(C36="",0,IF(C36=①基本情報!$E$5,③ライフイベント表!$E$9,0)+IF(C36=①基本情報!$E$5+5,③ライフイベント表!$E$10,0))</f>
        <v>0</v>
      </c>
      <c r="J36" s="26">
        <f t="shared" si="1"/>
        <v>350</v>
      </c>
      <c r="K36" s="25">
        <f>IF(C36="",0,IF(C36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36" s="25">
        <f>IF(C36="",0,IF((②相談時家計表!$E$15*12)=0,0,IF(C36&lt;①基本情報!$E$5,(②相談時家計表!$E$15*12),36)))</f>
        <v>36</v>
      </c>
      <c r="M36" s="25">
        <f>IF(C36="",0,IF(C36&lt;①基本情報!$E$5,(②相談時家計表!$E$20*12),(②相談時家計表!$E$20*12)*0.5))</f>
        <v>3</v>
      </c>
      <c r="N36" s="25">
        <f>IF(OR(C36="",①基本情報!$E$7=0,①基本情報!$E$8=99),0,IF((①基本情報!$E$8+A36)&lt;=③ライフイベント表!$E$6,③ライフイベント表!$E$5*①基本情報!$E$7,0))</f>
        <v>0</v>
      </c>
      <c r="O36" s="25">
        <f>IF(C36="",0,IF(C36&gt;=70,③ライフイベント表!$E$22,(②相談時家計表!$E$21*12)+(②相談時家計表!$E$27*12)))</f>
        <v>6</v>
      </c>
      <c r="P36" s="25">
        <f>IF(C36="",0,IF(AND(MOD(C36-①基本情報!$E$4,7)=0,C36&gt;①基本情報!$E$4,C36&lt;90),③ライフイベント表!$E$18/5,0)+IF(C36=①基本情報!$E$5+1,③ライフイベント表!$E$19,0)+IF(AND(①基本情報!$E$7&gt;0,C36=①基本情報!$E$4+(25-①基本情報!$E$8),①基本情報!$E$8&lt;25),③ライフイベント表!$E$20,0)+IF(AND(C36&gt;=①基本情報!$E$5,C36&lt;①基本情報!$E$5+10),③ライフイベント表!$E$21/10,0)+IF(C36=95,③ライフイベント表!$E$23,0))</f>
        <v>150</v>
      </c>
      <c r="Q36" s="27">
        <f t="shared" si="2"/>
        <v>346.2</v>
      </c>
      <c r="R36" s="28">
        <f t="shared" si="3"/>
        <v>3.8000000000000114</v>
      </c>
      <c r="S36" s="29">
        <f>IFERROR((S35+R36)*(1+IF(①基本情報!$E$10="",0,①基本情報!$E$10)),0)</f>
        <v>1651.6145574963723</v>
      </c>
    </row>
    <row r="37" spans="1:19" ht="18" customHeight="1">
      <c r="A37" s="30">
        <v>29</v>
      </c>
      <c r="B37" s="30">
        <f t="shared" si="0"/>
        <v>2055</v>
      </c>
      <c r="C37" s="30">
        <f>IF(①基本情報!$E$4="","",①基本情報!$E$4+A37)</f>
        <v>69</v>
      </c>
      <c r="D37" s="30">
        <f>IF(①基本情報!$E$4="","",IF(AND(②相談時家計表!$E$6=0,③ライフイベント表!$E$14&lt;=50,①基本情報!$E$6=0),"",C37+①基本情報!$E$6))</f>
        <v>66</v>
      </c>
      <c r="E37" s="31">
        <f>IF(OR(C37="",①基本情報!$E$5=""),0,IF(C37&lt;①基本情報!$E$5,(②相談時家計表!$E$5*12),IF(AND(C37&gt;=①基本情報!$E$5,C37&lt;③ライフイベント表!$E$12,③ライフイベント表!$E$12&gt;0),③ライフイベント表!$E$11,0)))</f>
        <v>200</v>
      </c>
      <c r="F37" s="31">
        <f>IF(OR(C37="",①基本情報!$E$5=""),0,IF(C37&lt;①基本情報!$E$5,(②相談時家計表!$E$6*12),0))</f>
        <v>0</v>
      </c>
      <c r="G37" s="31">
        <f>IF(OR(C37="",③ライフイベント表!$E$15=""),0,IF(C37&gt;=③ライフイベント表!$E$15,③ライフイベント表!$E$13,0))</f>
        <v>150</v>
      </c>
      <c r="H37" s="31">
        <f>IF(OR(D37="",D37=""),0,IF(AND(ISNUMBER(D37),D37&gt;=③ライフイベント表!$E$15),③ライフイベント表!$E$14,0))</f>
        <v>0</v>
      </c>
      <c r="I37" s="31">
        <f>IF(C37="",0,IF(C37=①基本情報!$E$5,③ライフイベント表!$E$9,0)+IF(C37=①基本情報!$E$5+5,③ライフイベント表!$E$10,0))</f>
        <v>0</v>
      </c>
      <c r="J37" s="32">
        <f t="shared" si="1"/>
        <v>350</v>
      </c>
      <c r="K37" s="31">
        <f>IF(C37="",0,IF(C37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37" s="31">
        <f>IF(C37="",0,IF((②相談時家計表!$E$15*12)=0,0,IF(C37&lt;①基本情報!$E$5,(②相談時家計表!$E$15*12),36)))</f>
        <v>36</v>
      </c>
      <c r="M37" s="31">
        <f>IF(C37="",0,IF(C37&lt;①基本情報!$E$5,(②相談時家計表!$E$20*12),(②相談時家計表!$E$20*12)*0.5))</f>
        <v>3</v>
      </c>
      <c r="N37" s="31">
        <f>IF(OR(C37="",①基本情報!$E$7=0,①基本情報!$E$8=99),0,IF((①基本情報!$E$8+A37)&lt;=③ライフイベント表!$E$6,③ライフイベント表!$E$5*①基本情報!$E$7,0))</f>
        <v>0</v>
      </c>
      <c r="O37" s="31">
        <f>IF(C37="",0,IF(C37&gt;=70,③ライフイベント表!$E$22,(②相談時家計表!$E$21*12)+(②相談時家計表!$E$27*12)))</f>
        <v>6</v>
      </c>
      <c r="P37" s="31">
        <f>IF(C37="",0,IF(AND(MOD(C37-①基本情報!$E$4,7)=0,C37&gt;①基本情報!$E$4,C37&lt;90),③ライフイベント表!$E$18/5,0)+IF(C37=①基本情報!$E$5+1,③ライフイベント表!$E$19,0)+IF(AND(①基本情報!$E$7&gt;0,C37=①基本情報!$E$4+(25-①基本情報!$E$8),①基本情報!$E$8&lt;25),③ライフイベント表!$E$20,0)+IF(AND(C37&gt;=①基本情報!$E$5,C37&lt;①基本情報!$E$5+10),③ライフイベント表!$E$21/10,0)+IF(C37=95,③ライフイベント表!$E$23,0))</f>
        <v>30</v>
      </c>
      <c r="Q37" s="33">
        <f t="shared" si="2"/>
        <v>226.2</v>
      </c>
      <c r="R37" s="34">
        <f t="shared" si="3"/>
        <v>123.80000000000001</v>
      </c>
      <c r="S37" s="35">
        <f>IFERROR((S36+R37)*(1+IF(①基本情報!$E$10="",0,①基本情報!$E$10)),0)</f>
        <v>1784.2916302838539</v>
      </c>
    </row>
    <row r="38" spans="1:19" ht="18" customHeight="1">
      <c r="A38" s="4">
        <v>30</v>
      </c>
      <c r="B38" s="4">
        <f t="shared" si="0"/>
        <v>2056</v>
      </c>
      <c r="C38" s="4">
        <f>IF(①基本情報!$E$4="","",①基本情報!$E$4+A38)</f>
        <v>70</v>
      </c>
      <c r="D38" s="4">
        <f>IF(①基本情報!$E$4="","",IF(AND(②相談時家計表!$E$6=0,③ライフイベント表!$E$14&lt;=50,①基本情報!$E$6=0),"",C38+①基本情報!$E$6))</f>
        <v>67</v>
      </c>
      <c r="E38" s="25">
        <f>IF(OR(C38="",①基本情報!$E$5=""),0,IF(C38&lt;①基本情報!$E$5,(②相談時家計表!$E$5*12),IF(AND(C38&gt;=①基本情報!$E$5,C38&lt;③ライフイベント表!$E$12,③ライフイベント表!$E$12&gt;0),③ライフイベント表!$E$11,0)))</f>
        <v>0</v>
      </c>
      <c r="F38" s="25">
        <f>IF(OR(C38="",①基本情報!$E$5=""),0,IF(C38&lt;①基本情報!$E$5,(②相談時家計表!$E$6*12),0))</f>
        <v>0</v>
      </c>
      <c r="G38" s="25">
        <f>IF(OR(C38="",③ライフイベント表!$E$15=""),0,IF(C38&gt;=③ライフイベント表!$E$15,③ライフイベント表!$E$13,0))</f>
        <v>150</v>
      </c>
      <c r="H38" s="25">
        <f>IF(OR(D38="",D38=""),0,IF(AND(ISNUMBER(D38),D38&gt;=③ライフイベント表!$E$15),③ライフイベント表!$E$14,0))</f>
        <v>0</v>
      </c>
      <c r="I38" s="25">
        <f>IF(C38="",0,IF(C38=①基本情報!$E$5,③ライフイベント表!$E$9,0)+IF(C38=①基本情報!$E$5+5,③ライフイベント表!$E$10,0))</f>
        <v>0</v>
      </c>
      <c r="J38" s="26">
        <f t="shared" si="1"/>
        <v>150</v>
      </c>
      <c r="K38" s="25">
        <f>IF(C38="",0,IF(C38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38" s="25">
        <f>IF(C38="",0,IF((②相談時家計表!$E$15*12)=0,0,IF(C38&lt;①基本情報!$E$5,(②相談時家計表!$E$15*12),36)))</f>
        <v>36</v>
      </c>
      <c r="M38" s="25">
        <f>IF(C38="",0,IF(C38&lt;①基本情報!$E$5,(②相談時家計表!$E$20*12),(②相談時家計表!$E$20*12)*0.5))</f>
        <v>3</v>
      </c>
      <c r="N38" s="25">
        <f>IF(OR(C38="",①基本情報!$E$7=0,①基本情報!$E$8=99),0,IF((①基本情報!$E$8+A38)&lt;=③ライフイベント表!$E$6,③ライフイベント表!$E$5*①基本情報!$E$7,0))</f>
        <v>0</v>
      </c>
      <c r="O38" s="25">
        <f>IF(C38="",0,IF(C38&gt;=70,③ライフイベント表!$E$22,(②相談時家計表!$E$21*12)+(②相談時家計表!$E$27*12)))</f>
        <v>70</v>
      </c>
      <c r="P38" s="25">
        <f>IF(C38="",0,IF(AND(MOD(C38-①基本情報!$E$4,7)=0,C38&gt;①基本情報!$E$4,C38&lt;90),③ライフイベント表!$E$18/5,0)+IF(C38=①基本情報!$E$5+1,③ライフイベント表!$E$19,0)+IF(AND(①基本情報!$E$7&gt;0,C38=①基本情報!$E$4+(25-①基本情報!$E$8),①基本情報!$E$8&lt;25),③ライフイベント表!$E$20,0)+IF(AND(C38&gt;=①基本情報!$E$5,C38&lt;①基本情報!$E$5+10),③ライフイベント表!$E$21/10,0)+IF(C38=95,③ライフイベント表!$E$23,0))</f>
        <v>0</v>
      </c>
      <c r="Q38" s="27">
        <f t="shared" si="2"/>
        <v>260.2</v>
      </c>
      <c r="R38" s="28">
        <f t="shared" si="3"/>
        <v>-110.19999999999999</v>
      </c>
      <c r="S38" s="29">
        <f>IFERROR((S37+R38)*(1+IF(①基本情報!$E$10="",0,①基本情報!$E$10)),0)</f>
        <v>1682.462088435273</v>
      </c>
    </row>
    <row r="39" spans="1:19" ht="18" customHeight="1">
      <c r="A39" s="30">
        <v>31</v>
      </c>
      <c r="B39" s="30">
        <f t="shared" si="0"/>
        <v>2057</v>
      </c>
      <c r="C39" s="30">
        <f>IF(①基本情報!$E$4="","",①基本情報!$E$4+A39)</f>
        <v>71</v>
      </c>
      <c r="D39" s="30">
        <f>IF(①基本情報!$E$4="","",IF(AND(②相談時家計表!$E$6=0,③ライフイベント表!$E$14&lt;=50,①基本情報!$E$6=0),"",C39+①基本情報!$E$6))</f>
        <v>68</v>
      </c>
      <c r="E39" s="31">
        <f>IF(OR(C39="",①基本情報!$E$5=""),0,IF(C39&lt;①基本情報!$E$5,(②相談時家計表!$E$5*12),IF(AND(C39&gt;=①基本情報!$E$5,C39&lt;③ライフイベント表!$E$12,③ライフイベント表!$E$12&gt;0),③ライフイベント表!$E$11,0)))</f>
        <v>0</v>
      </c>
      <c r="F39" s="31">
        <f>IF(OR(C39="",①基本情報!$E$5=""),0,IF(C39&lt;①基本情報!$E$5,(②相談時家計表!$E$6*12),0))</f>
        <v>0</v>
      </c>
      <c r="G39" s="31">
        <f>IF(OR(C39="",③ライフイベント表!$E$15=""),0,IF(C39&gt;=③ライフイベント表!$E$15,③ライフイベント表!$E$13,0))</f>
        <v>150</v>
      </c>
      <c r="H39" s="31">
        <f>IF(OR(D39="",D39=""),0,IF(AND(ISNUMBER(D39),D39&gt;=③ライフイベント表!$E$15),③ライフイベント表!$E$14,0))</f>
        <v>70</v>
      </c>
      <c r="I39" s="31">
        <f>IF(C39="",0,IF(C39=①基本情報!$E$5,③ライフイベント表!$E$9,0)+IF(C39=①基本情報!$E$5+5,③ライフイベント表!$E$10,0))</f>
        <v>0</v>
      </c>
      <c r="J39" s="32">
        <f t="shared" si="1"/>
        <v>220</v>
      </c>
      <c r="K39" s="31">
        <f>IF(C39="",0,IF(C39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39" s="31">
        <f>IF(C39="",0,IF((②相談時家計表!$E$15*12)=0,0,IF(C39&lt;①基本情報!$E$5,(②相談時家計表!$E$15*12),36)))</f>
        <v>36</v>
      </c>
      <c r="M39" s="31">
        <f>IF(C39="",0,IF(C39&lt;①基本情報!$E$5,(②相談時家計表!$E$20*12),(②相談時家計表!$E$20*12)*0.5))</f>
        <v>3</v>
      </c>
      <c r="N39" s="31">
        <f>IF(OR(C39="",①基本情報!$E$7=0,①基本情報!$E$8=99),0,IF((①基本情報!$E$8+A39)&lt;=③ライフイベント表!$E$6,③ライフイベント表!$E$5*①基本情報!$E$7,0))</f>
        <v>0</v>
      </c>
      <c r="O39" s="31">
        <f>IF(C39="",0,IF(C39&gt;=70,③ライフイベント表!$E$22,(②相談時家計表!$E$21*12)+(②相談時家計表!$E$27*12)))</f>
        <v>70</v>
      </c>
      <c r="P39" s="31">
        <f>IF(C39="",0,IF(AND(MOD(C39-①基本情報!$E$4,7)=0,C39&gt;①基本情報!$E$4,C39&lt;90),③ライフイベント表!$E$18/5,0)+IF(C39=①基本情報!$E$5+1,③ライフイベント表!$E$19,0)+IF(AND(①基本情報!$E$7&gt;0,C39=①基本情報!$E$4+(25-①基本情報!$E$8),①基本情報!$E$8&lt;25),③ライフイベント表!$E$20,0)+IF(AND(C39&gt;=①基本情報!$E$5,C39&lt;①基本情報!$E$5+10),③ライフイベント表!$E$21/10,0)+IF(C39=95,③ライフイベント表!$E$23,0))</f>
        <v>0</v>
      </c>
      <c r="Q39" s="33">
        <f t="shared" si="2"/>
        <v>260.2</v>
      </c>
      <c r="R39" s="34">
        <f t="shared" si="3"/>
        <v>-40.199999999999989</v>
      </c>
      <c r="S39" s="35">
        <f>IFERROR((S38+R39)*(1+IF(①基本情報!$E$10="",0,①基本情報!$E$10)),0)</f>
        <v>1650.4733988774492</v>
      </c>
    </row>
    <row r="40" spans="1:19" ht="18" customHeight="1">
      <c r="A40" s="4">
        <v>32</v>
      </c>
      <c r="B40" s="4">
        <f t="shared" ref="B40:B68" si="4">2026+A40</f>
        <v>2058</v>
      </c>
      <c r="C40" s="4">
        <f>IF(①基本情報!$E$4="","",①基本情報!$E$4+A40)</f>
        <v>72</v>
      </c>
      <c r="D40" s="4">
        <f>IF(①基本情報!$E$4="","",IF(AND(②相談時家計表!$E$6=0,③ライフイベント表!$E$14&lt;=50,①基本情報!$E$6=0),"",C40+①基本情報!$E$6))</f>
        <v>69</v>
      </c>
      <c r="E40" s="25">
        <f>IF(OR(C40="",①基本情報!$E$5=""),0,IF(C40&lt;①基本情報!$E$5,(②相談時家計表!$E$5*12),IF(AND(C40&gt;=①基本情報!$E$5,C40&lt;③ライフイベント表!$E$12,③ライフイベント表!$E$12&gt;0),③ライフイベント表!$E$11,0)))</f>
        <v>0</v>
      </c>
      <c r="F40" s="25">
        <f>IF(OR(C40="",①基本情報!$E$5=""),0,IF(C40&lt;①基本情報!$E$5,(②相談時家計表!$E$6*12),0))</f>
        <v>0</v>
      </c>
      <c r="G40" s="25">
        <f>IF(OR(C40="",③ライフイベント表!$E$15=""),0,IF(C40&gt;=③ライフイベント表!$E$15,③ライフイベント表!$E$13,0))</f>
        <v>150</v>
      </c>
      <c r="H40" s="25">
        <f>IF(OR(D40="",D40=""),0,IF(AND(ISNUMBER(D40),D40&gt;=③ライフイベント表!$E$15),③ライフイベント表!$E$14,0))</f>
        <v>70</v>
      </c>
      <c r="I40" s="25">
        <f>IF(C40="",0,IF(C40=①基本情報!$E$5,③ライフイベント表!$E$9,0)+IF(C40=①基本情報!$E$5+5,③ライフイベント表!$E$10,0))</f>
        <v>0</v>
      </c>
      <c r="J40" s="26">
        <f t="shared" ref="J40:J68" si="5">SUM(E40:I40)</f>
        <v>220</v>
      </c>
      <c r="K40" s="25">
        <f>IF(C40="",0,IF(C40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40" s="25">
        <f>IF(C40="",0,IF((②相談時家計表!$E$15*12)=0,0,IF(C40&lt;①基本情報!$E$5,(②相談時家計表!$E$15*12),36)))</f>
        <v>36</v>
      </c>
      <c r="M40" s="25">
        <f>IF(C40="",0,IF(C40&lt;①基本情報!$E$5,(②相談時家計表!$E$20*12),(②相談時家計表!$E$20*12)*0.5))</f>
        <v>3</v>
      </c>
      <c r="N40" s="25">
        <f>IF(OR(C40="",①基本情報!$E$7=0,①基本情報!$E$8=99),0,IF((①基本情報!$E$8+A40)&lt;=③ライフイベント表!$E$6,③ライフイベント表!$E$5*①基本情報!$E$7,0))</f>
        <v>0</v>
      </c>
      <c r="O40" s="25">
        <f>IF(C40="",0,IF(C40&gt;=70,③ライフイベント表!$E$22,(②相談時家計表!$E$21*12)+(②相談時家計表!$E$27*12)))</f>
        <v>70</v>
      </c>
      <c r="P40" s="25">
        <f>IF(C40="",0,IF(AND(MOD(C40-①基本情報!$E$4,7)=0,C40&gt;①基本情報!$E$4,C40&lt;90),③ライフイベント表!$E$18/5,0)+IF(C40=①基本情報!$E$5+1,③ライフイベント表!$E$19,0)+IF(AND(①基本情報!$E$7&gt;0,C40=①基本情報!$E$4+(25-①基本情報!$E$8),①基本情報!$E$8&lt;25),③ライフイベント表!$E$20,0)+IF(AND(C40&gt;=①基本情報!$E$5,C40&lt;①基本情報!$E$5+10),③ライフイベント表!$E$21/10,0)+IF(C40=95,③ライフイベント表!$E$23,0))</f>
        <v>0</v>
      </c>
      <c r="Q40" s="27">
        <f t="shared" ref="Q40:Q68" si="6">SUM(K40:P40)</f>
        <v>260.2</v>
      </c>
      <c r="R40" s="28">
        <f t="shared" ref="R40:R68" si="7">J40-Q40</f>
        <v>-40.199999999999989</v>
      </c>
      <c r="S40" s="29">
        <f>IFERROR((S39+R40)*(1+IF(①基本情報!$E$10="",0,①基本情報!$E$10)),0)</f>
        <v>1618.3247658718362</v>
      </c>
    </row>
    <row r="41" spans="1:19" ht="18" customHeight="1">
      <c r="A41" s="30">
        <v>33</v>
      </c>
      <c r="B41" s="30">
        <f t="shared" si="4"/>
        <v>2059</v>
      </c>
      <c r="C41" s="30">
        <f>IF(①基本情報!$E$4="","",①基本情報!$E$4+A41)</f>
        <v>73</v>
      </c>
      <c r="D41" s="30">
        <f>IF(①基本情報!$E$4="","",IF(AND(②相談時家計表!$E$6=0,③ライフイベント表!$E$14&lt;=50,①基本情報!$E$6=0),"",C41+①基本情報!$E$6))</f>
        <v>70</v>
      </c>
      <c r="E41" s="31">
        <f>IF(OR(C41="",①基本情報!$E$5=""),0,IF(C41&lt;①基本情報!$E$5,(②相談時家計表!$E$5*12),IF(AND(C41&gt;=①基本情報!$E$5,C41&lt;③ライフイベント表!$E$12,③ライフイベント表!$E$12&gt;0),③ライフイベント表!$E$11,0)))</f>
        <v>0</v>
      </c>
      <c r="F41" s="31">
        <f>IF(OR(C41="",①基本情報!$E$5=""),0,IF(C41&lt;①基本情報!$E$5,(②相談時家計表!$E$6*12),0))</f>
        <v>0</v>
      </c>
      <c r="G41" s="31">
        <f>IF(OR(C41="",③ライフイベント表!$E$15=""),0,IF(C41&gt;=③ライフイベント表!$E$15,③ライフイベント表!$E$13,0))</f>
        <v>150</v>
      </c>
      <c r="H41" s="31">
        <f>IF(OR(D41="",D41=""),0,IF(AND(ISNUMBER(D41),D41&gt;=③ライフイベント表!$E$15),③ライフイベント表!$E$14,0))</f>
        <v>70</v>
      </c>
      <c r="I41" s="31">
        <f>IF(C41="",0,IF(C41=①基本情報!$E$5,③ライフイベント表!$E$9,0)+IF(C41=①基本情報!$E$5+5,③ライフイベント表!$E$10,0))</f>
        <v>0</v>
      </c>
      <c r="J41" s="32">
        <f t="shared" si="5"/>
        <v>220</v>
      </c>
      <c r="K41" s="31">
        <f>IF(C41="",0,IF(C41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41" s="31">
        <f>IF(C41="",0,IF((②相談時家計表!$E$15*12)=0,0,IF(C41&lt;①基本情報!$E$5,(②相談時家計表!$E$15*12),36)))</f>
        <v>36</v>
      </c>
      <c r="M41" s="31">
        <f>IF(C41="",0,IF(C41&lt;①基本情報!$E$5,(②相談時家計表!$E$20*12),(②相談時家計表!$E$20*12)*0.5))</f>
        <v>3</v>
      </c>
      <c r="N41" s="31">
        <f>IF(OR(C41="",①基本情報!$E$7=0,①基本情報!$E$8=99),0,IF((①基本情報!$E$8+A41)&lt;=③ライフイベント表!$E$6,③ライフイベント表!$E$5*①基本情報!$E$7,0))</f>
        <v>0</v>
      </c>
      <c r="O41" s="31">
        <f>IF(C41="",0,IF(C41&gt;=70,③ライフイベント表!$E$22,(②相談時家計表!$E$21*12)+(②相談時家計表!$E$27*12)))</f>
        <v>70</v>
      </c>
      <c r="P41" s="31">
        <f>IF(C41="",0,IF(AND(MOD(C41-①基本情報!$E$4,7)=0,C41&gt;①基本情報!$E$4,C41&lt;90),③ライフイベント表!$E$18/5,0)+IF(C41=①基本情報!$E$5+1,③ライフイベント表!$E$19,0)+IF(AND(①基本情報!$E$7&gt;0,C41=①基本情報!$E$4+(25-①基本情報!$E$8),①基本情報!$E$8&lt;25),③ライフイベント表!$E$20,0)+IF(AND(C41&gt;=①基本情報!$E$5,C41&lt;①基本情報!$E$5+10),③ライフイベント表!$E$21/10,0)+IF(C41=95,③ライフイベント表!$E$23,0))</f>
        <v>0</v>
      </c>
      <c r="Q41" s="33">
        <f t="shared" si="6"/>
        <v>260.2</v>
      </c>
      <c r="R41" s="34">
        <f t="shared" si="7"/>
        <v>-40.199999999999989</v>
      </c>
      <c r="S41" s="35">
        <f>IFERROR((S40+R41)*(1+IF(①基本情報!$E$10="",0,①基本情報!$E$10)),0)</f>
        <v>1586.0153897011951</v>
      </c>
    </row>
    <row r="42" spans="1:19" ht="18" customHeight="1">
      <c r="A42" s="4">
        <v>34</v>
      </c>
      <c r="B42" s="4">
        <f t="shared" si="4"/>
        <v>2060</v>
      </c>
      <c r="C42" s="4">
        <f>IF(①基本情報!$E$4="","",①基本情報!$E$4+A42)</f>
        <v>74</v>
      </c>
      <c r="D42" s="4">
        <f>IF(①基本情報!$E$4="","",IF(AND(②相談時家計表!$E$6=0,③ライフイベント表!$E$14&lt;=50,①基本情報!$E$6=0),"",C42+①基本情報!$E$6))</f>
        <v>71</v>
      </c>
      <c r="E42" s="25">
        <f>IF(OR(C42="",①基本情報!$E$5=""),0,IF(C42&lt;①基本情報!$E$5,(②相談時家計表!$E$5*12),IF(AND(C42&gt;=①基本情報!$E$5,C42&lt;③ライフイベント表!$E$12,③ライフイベント表!$E$12&gt;0),③ライフイベント表!$E$11,0)))</f>
        <v>0</v>
      </c>
      <c r="F42" s="25">
        <f>IF(OR(C42="",①基本情報!$E$5=""),0,IF(C42&lt;①基本情報!$E$5,(②相談時家計表!$E$6*12),0))</f>
        <v>0</v>
      </c>
      <c r="G42" s="25">
        <f>IF(OR(C42="",③ライフイベント表!$E$15=""),0,IF(C42&gt;=③ライフイベント表!$E$15,③ライフイベント表!$E$13,0))</f>
        <v>150</v>
      </c>
      <c r="H42" s="25">
        <f>IF(OR(D42="",D42=""),0,IF(AND(ISNUMBER(D42),D42&gt;=③ライフイベント表!$E$15),③ライフイベント表!$E$14,0))</f>
        <v>70</v>
      </c>
      <c r="I42" s="25">
        <f>IF(C42="",0,IF(C42=①基本情報!$E$5,③ライフイベント表!$E$9,0)+IF(C42=①基本情報!$E$5+5,③ライフイベント表!$E$10,0))</f>
        <v>0</v>
      </c>
      <c r="J42" s="26">
        <f t="shared" si="5"/>
        <v>220</v>
      </c>
      <c r="K42" s="25">
        <f>IF(C42="",0,IF(C42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42" s="25">
        <f>IF(C42="",0,IF((②相談時家計表!$E$15*12)=0,0,IF(C42&lt;①基本情報!$E$5,(②相談時家計表!$E$15*12),36)))</f>
        <v>36</v>
      </c>
      <c r="M42" s="25">
        <f>IF(C42="",0,IF(C42&lt;①基本情報!$E$5,(②相談時家計表!$E$20*12),(②相談時家計表!$E$20*12)*0.5))</f>
        <v>3</v>
      </c>
      <c r="N42" s="25">
        <f>IF(OR(C42="",①基本情報!$E$7=0,①基本情報!$E$8=99),0,IF((①基本情報!$E$8+A42)&lt;=③ライフイベント表!$E$6,③ライフイベント表!$E$5*①基本情報!$E$7,0))</f>
        <v>0</v>
      </c>
      <c r="O42" s="25">
        <f>IF(C42="",0,IF(C42&gt;=70,③ライフイベント表!$E$22,(②相談時家計表!$E$21*12)+(②相談時家計表!$E$27*12)))</f>
        <v>70</v>
      </c>
      <c r="P42" s="25">
        <f>IF(C42="",0,IF(AND(MOD(C42-①基本情報!$E$4,7)=0,C42&gt;①基本情報!$E$4,C42&lt;90),③ライフイベント表!$E$18/5,0)+IF(C42=①基本情報!$E$5+1,③ライフイベント表!$E$19,0)+IF(AND(①基本情報!$E$7&gt;0,C42=①基本情報!$E$4+(25-①基本情報!$E$8),①基本情報!$E$8&lt;25),③ライフイベント表!$E$20,0)+IF(AND(C42&gt;=①基本情報!$E$5,C42&lt;①基本情報!$E$5+10),③ライフイベント表!$E$21/10,0)+IF(C42=95,③ライフイベント表!$E$23,0))</f>
        <v>0</v>
      </c>
      <c r="Q42" s="27">
        <f t="shared" si="6"/>
        <v>260.2</v>
      </c>
      <c r="R42" s="28">
        <f t="shared" si="7"/>
        <v>-40.199999999999989</v>
      </c>
      <c r="S42" s="29">
        <f>IFERROR((S41+R42)*(1+IF(①基本情報!$E$10="",0,①基本情報!$E$10)),0)</f>
        <v>1553.5444666497008</v>
      </c>
    </row>
    <row r="43" spans="1:19" ht="18" customHeight="1">
      <c r="A43" s="30">
        <v>35</v>
      </c>
      <c r="B43" s="30">
        <f t="shared" si="4"/>
        <v>2061</v>
      </c>
      <c r="C43" s="30">
        <f>IF(①基本情報!$E$4="","",①基本情報!$E$4+A43)</f>
        <v>75</v>
      </c>
      <c r="D43" s="30">
        <f>IF(①基本情報!$E$4="","",IF(AND(②相談時家計表!$E$6=0,③ライフイベント表!$E$14&lt;=50,①基本情報!$E$6=0),"",C43+①基本情報!$E$6))</f>
        <v>72</v>
      </c>
      <c r="E43" s="31">
        <f>IF(OR(C43="",①基本情報!$E$5=""),0,IF(C43&lt;①基本情報!$E$5,(②相談時家計表!$E$5*12),IF(AND(C43&gt;=①基本情報!$E$5,C43&lt;③ライフイベント表!$E$12,③ライフイベント表!$E$12&gt;0),③ライフイベント表!$E$11,0)))</f>
        <v>0</v>
      </c>
      <c r="F43" s="31">
        <f>IF(OR(C43="",①基本情報!$E$5=""),0,IF(C43&lt;①基本情報!$E$5,(②相談時家計表!$E$6*12),0))</f>
        <v>0</v>
      </c>
      <c r="G43" s="31">
        <f>IF(OR(C43="",③ライフイベント表!$E$15=""),0,IF(C43&gt;=③ライフイベント表!$E$15,③ライフイベント表!$E$13,0))</f>
        <v>150</v>
      </c>
      <c r="H43" s="31">
        <f>IF(OR(D43="",D43=""),0,IF(AND(ISNUMBER(D43),D43&gt;=③ライフイベント表!$E$15),③ライフイベント表!$E$14,0))</f>
        <v>70</v>
      </c>
      <c r="I43" s="31">
        <f>IF(C43="",0,IF(C43=①基本情報!$E$5,③ライフイベント表!$E$9,0)+IF(C43=①基本情報!$E$5+5,③ライフイベント表!$E$10,0))</f>
        <v>0</v>
      </c>
      <c r="J43" s="32">
        <f t="shared" si="5"/>
        <v>220</v>
      </c>
      <c r="K43" s="31">
        <f>IF(C43="",0,IF(C43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43" s="31">
        <f>IF(C43="",0,IF((②相談時家計表!$E$15*12)=0,0,IF(C43&lt;①基本情報!$E$5,(②相談時家計表!$E$15*12),36)))</f>
        <v>36</v>
      </c>
      <c r="M43" s="31">
        <f>IF(C43="",0,IF(C43&lt;①基本情報!$E$5,(②相談時家計表!$E$20*12),(②相談時家計表!$E$20*12)*0.5))</f>
        <v>3</v>
      </c>
      <c r="N43" s="31">
        <f>IF(OR(C43="",①基本情報!$E$7=0,①基本情報!$E$8=99),0,IF((①基本情報!$E$8+A43)&lt;=③ライフイベント表!$E$6,③ライフイベント表!$E$5*①基本情報!$E$7,0))</f>
        <v>0</v>
      </c>
      <c r="O43" s="31">
        <f>IF(C43="",0,IF(C43&gt;=70,③ライフイベント表!$E$22,(②相談時家計表!$E$21*12)+(②相談時家計表!$E$27*12)))</f>
        <v>70</v>
      </c>
      <c r="P43" s="31">
        <f>IF(C43="",0,IF(AND(MOD(C43-①基本情報!$E$4,7)=0,C43&gt;①基本情報!$E$4,C43&lt;90),③ライフイベント表!$E$18/5,0)+IF(C43=①基本情報!$E$5+1,③ライフイベント表!$E$19,0)+IF(AND(①基本情報!$E$7&gt;0,C43=①基本情報!$E$4+(25-①基本情報!$E$8),①基本情報!$E$8&lt;25),③ライフイベント表!$E$20,0)+IF(AND(C43&gt;=①基本情報!$E$5,C43&lt;①基本情報!$E$5+10),③ライフイベント表!$E$21/10,0)+IF(C43=95,③ライフイベント表!$E$23,0))</f>
        <v>120</v>
      </c>
      <c r="Q43" s="33">
        <f t="shared" si="6"/>
        <v>380.2</v>
      </c>
      <c r="R43" s="34">
        <f t="shared" si="7"/>
        <v>-160.19999999999999</v>
      </c>
      <c r="S43" s="35">
        <f>IFERROR((S42+R43)*(1+IF(①基本情報!$E$10="",0,①基本情報!$E$10)),0)</f>
        <v>1400.311188982949</v>
      </c>
    </row>
    <row r="44" spans="1:19" ht="18" customHeight="1">
      <c r="A44" s="4">
        <v>36</v>
      </c>
      <c r="B44" s="4">
        <f t="shared" si="4"/>
        <v>2062</v>
      </c>
      <c r="C44" s="4">
        <f>IF(①基本情報!$E$4="","",①基本情報!$E$4+A44)</f>
        <v>76</v>
      </c>
      <c r="D44" s="4">
        <f>IF(①基本情報!$E$4="","",IF(AND(②相談時家計表!$E$6=0,③ライフイベント表!$E$14&lt;=50,①基本情報!$E$6=0),"",C44+①基本情報!$E$6))</f>
        <v>73</v>
      </c>
      <c r="E44" s="25">
        <f>IF(OR(C44="",①基本情報!$E$5=""),0,IF(C44&lt;①基本情報!$E$5,(②相談時家計表!$E$5*12),IF(AND(C44&gt;=①基本情報!$E$5,C44&lt;③ライフイベント表!$E$12,③ライフイベント表!$E$12&gt;0),③ライフイベント表!$E$11,0)))</f>
        <v>0</v>
      </c>
      <c r="F44" s="25">
        <f>IF(OR(C44="",①基本情報!$E$5=""),0,IF(C44&lt;①基本情報!$E$5,(②相談時家計表!$E$6*12),0))</f>
        <v>0</v>
      </c>
      <c r="G44" s="25">
        <f>IF(OR(C44="",③ライフイベント表!$E$15=""),0,IF(C44&gt;=③ライフイベント表!$E$15,③ライフイベント表!$E$13,0))</f>
        <v>150</v>
      </c>
      <c r="H44" s="25">
        <f>IF(OR(D44="",D44=""),0,IF(AND(ISNUMBER(D44),D44&gt;=③ライフイベント表!$E$15),③ライフイベント表!$E$14,0))</f>
        <v>70</v>
      </c>
      <c r="I44" s="25">
        <f>IF(C44="",0,IF(C44=①基本情報!$E$5,③ライフイベント表!$E$9,0)+IF(C44=①基本情報!$E$5+5,③ライフイベント表!$E$10,0))</f>
        <v>0</v>
      </c>
      <c r="J44" s="26">
        <f t="shared" si="5"/>
        <v>220</v>
      </c>
      <c r="K44" s="25">
        <f>IF(C44="",0,IF(C44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44" s="25">
        <f>IF(C44="",0,IF((②相談時家計表!$E$15*12)=0,0,IF(C44&lt;①基本情報!$E$5,(②相談時家計表!$E$15*12),36)))</f>
        <v>36</v>
      </c>
      <c r="M44" s="25">
        <f>IF(C44="",0,IF(C44&lt;①基本情報!$E$5,(②相談時家計表!$E$20*12),(②相談時家計表!$E$20*12)*0.5))</f>
        <v>3</v>
      </c>
      <c r="N44" s="25">
        <f>IF(OR(C44="",①基本情報!$E$7=0,①基本情報!$E$8=99),0,IF((①基本情報!$E$8+A44)&lt;=③ライフイベント表!$E$6,③ライフイベント表!$E$5*①基本情報!$E$7,0))</f>
        <v>0</v>
      </c>
      <c r="O44" s="25">
        <f>IF(C44="",0,IF(C44&gt;=70,③ライフイベント表!$E$22,(②相談時家計表!$E$21*12)+(②相談時家計表!$E$27*12)))</f>
        <v>70</v>
      </c>
      <c r="P44" s="25">
        <f>IF(C44="",0,IF(AND(MOD(C44-①基本情報!$E$4,7)=0,C44&gt;①基本情報!$E$4,C44&lt;90),③ライフイベント表!$E$18/5,0)+IF(C44=①基本情報!$E$5+1,③ライフイベント表!$E$19,0)+IF(AND(①基本情報!$E$7&gt;0,C44=①基本情報!$E$4+(25-①基本情報!$E$8),①基本情報!$E$8&lt;25),③ライフイベント表!$E$20,0)+IF(AND(C44&gt;=①基本情報!$E$5,C44&lt;①基本情報!$E$5+10),③ライフイベント表!$E$21/10,0)+IF(C44=95,③ライフイベント表!$E$23,0))</f>
        <v>0</v>
      </c>
      <c r="Q44" s="27">
        <f t="shared" si="6"/>
        <v>260.2</v>
      </c>
      <c r="R44" s="28">
        <f t="shared" si="7"/>
        <v>-40.199999999999989</v>
      </c>
      <c r="S44" s="29">
        <f>IFERROR((S43+R44)*(1+IF(①基本情報!$E$10="",0,①基本情報!$E$10)),0)</f>
        <v>1366.9117449278635</v>
      </c>
    </row>
    <row r="45" spans="1:19" ht="18" customHeight="1">
      <c r="A45" s="30">
        <v>37</v>
      </c>
      <c r="B45" s="30">
        <f t="shared" si="4"/>
        <v>2063</v>
      </c>
      <c r="C45" s="30">
        <f>IF(①基本情報!$E$4="","",①基本情報!$E$4+A45)</f>
        <v>77</v>
      </c>
      <c r="D45" s="30">
        <f>IF(①基本情報!$E$4="","",IF(AND(②相談時家計表!$E$6=0,③ライフイベント表!$E$14&lt;=50,①基本情報!$E$6=0),"",C45+①基本情報!$E$6))</f>
        <v>74</v>
      </c>
      <c r="E45" s="31">
        <f>IF(OR(C45="",①基本情報!$E$5=""),0,IF(C45&lt;①基本情報!$E$5,(②相談時家計表!$E$5*12),IF(AND(C45&gt;=①基本情報!$E$5,C45&lt;③ライフイベント表!$E$12,③ライフイベント表!$E$12&gt;0),③ライフイベント表!$E$11,0)))</f>
        <v>0</v>
      </c>
      <c r="F45" s="31">
        <f>IF(OR(C45="",①基本情報!$E$5=""),0,IF(C45&lt;①基本情報!$E$5,(②相談時家計表!$E$6*12),0))</f>
        <v>0</v>
      </c>
      <c r="G45" s="31">
        <f>IF(OR(C45="",③ライフイベント表!$E$15=""),0,IF(C45&gt;=③ライフイベント表!$E$15,③ライフイベント表!$E$13,0))</f>
        <v>150</v>
      </c>
      <c r="H45" s="31">
        <f>IF(OR(D45="",D45=""),0,IF(AND(ISNUMBER(D45),D45&gt;=③ライフイベント表!$E$15),③ライフイベント表!$E$14,0))</f>
        <v>70</v>
      </c>
      <c r="I45" s="31">
        <f>IF(C45="",0,IF(C45=①基本情報!$E$5,③ライフイベント表!$E$9,0)+IF(C45=①基本情報!$E$5+5,③ライフイベント表!$E$10,0))</f>
        <v>0</v>
      </c>
      <c r="J45" s="32">
        <f t="shared" si="5"/>
        <v>220</v>
      </c>
      <c r="K45" s="31">
        <f>IF(C45="",0,IF(C45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45" s="31">
        <f>IF(C45="",0,IF((②相談時家計表!$E$15*12)=0,0,IF(C45&lt;①基本情報!$E$5,(②相談時家計表!$E$15*12),36)))</f>
        <v>36</v>
      </c>
      <c r="M45" s="31">
        <f>IF(C45="",0,IF(C45&lt;①基本情報!$E$5,(②相談時家計表!$E$20*12),(②相談時家計表!$E$20*12)*0.5))</f>
        <v>3</v>
      </c>
      <c r="N45" s="31">
        <f>IF(OR(C45="",①基本情報!$E$7=0,①基本情報!$E$8=99),0,IF((①基本情報!$E$8+A45)&lt;=③ライフイベント表!$E$6,③ライフイベント表!$E$5*①基本情報!$E$7,0))</f>
        <v>0</v>
      </c>
      <c r="O45" s="31">
        <f>IF(C45="",0,IF(C45&gt;=70,③ライフイベント表!$E$22,(②相談時家計表!$E$21*12)+(②相談時家計表!$E$27*12)))</f>
        <v>70</v>
      </c>
      <c r="P45" s="31">
        <f>IF(C45="",0,IF(AND(MOD(C45-①基本情報!$E$4,7)=0,C45&gt;①基本情報!$E$4,C45&lt;90),③ライフイベント表!$E$18/5,0)+IF(C45=①基本情報!$E$5+1,③ライフイベント表!$E$19,0)+IF(AND(①基本情報!$E$7&gt;0,C45=①基本情報!$E$4+(25-①基本情報!$E$8),①基本情報!$E$8&lt;25),③ライフイベント表!$E$20,0)+IF(AND(C45&gt;=①基本情報!$E$5,C45&lt;①基本情報!$E$5+10),③ライフイベント表!$E$21/10,0)+IF(C45=95,③ライフイベント表!$E$23,0))</f>
        <v>0</v>
      </c>
      <c r="Q45" s="33">
        <f t="shared" si="6"/>
        <v>260.2</v>
      </c>
      <c r="R45" s="34">
        <f t="shared" si="7"/>
        <v>-40.199999999999989</v>
      </c>
      <c r="S45" s="35">
        <f>IFERROR((S44+R45)*(1+IF(①基本情報!$E$10="",0,①基本情報!$E$10)),0)</f>
        <v>1333.3453036525027</v>
      </c>
    </row>
    <row r="46" spans="1:19" ht="18" customHeight="1">
      <c r="A46" s="4">
        <v>38</v>
      </c>
      <c r="B46" s="4">
        <f t="shared" si="4"/>
        <v>2064</v>
      </c>
      <c r="C46" s="4">
        <f>IF(①基本情報!$E$4="","",①基本情報!$E$4+A46)</f>
        <v>78</v>
      </c>
      <c r="D46" s="4">
        <f>IF(①基本情報!$E$4="","",IF(AND(②相談時家計表!$E$6=0,③ライフイベント表!$E$14&lt;=50,①基本情報!$E$6=0),"",C46+①基本情報!$E$6))</f>
        <v>75</v>
      </c>
      <c r="E46" s="25">
        <f>IF(OR(C46="",①基本情報!$E$5=""),0,IF(C46&lt;①基本情報!$E$5,(②相談時家計表!$E$5*12),IF(AND(C46&gt;=①基本情報!$E$5,C46&lt;③ライフイベント表!$E$12,③ライフイベント表!$E$12&gt;0),③ライフイベント表!$E$11,0)))</f>
        <v>0</v>
      </c>
      <c r="F46" s="25">
        <f>IF(OR(C46="",①基本情報!$E$5=""),0,IF(C46&lt;①基本情報!$E$5,(②相談時家計表!$E$6*12),0))</f>
        <v>0</v>
      </c>
      <c r="G46" s="25">
        <f>IF(OR(C46="",③ライフイベント表!$E$15=""),0,IF(C46&gt;=③ライフイベント表!$E$15,③ライフイベント表!$E$13,0))</f>
        <v>150</v>
      </c>
      <c r="H46" s="25">
        <f>IF(OR(D46="",D46=""),0,IF(AND(ISNUMBER(D46),D46&gt;=③ライフイベント表!$E$15),③ライフイベント表!$E$14,0))</f>
        <v>70</v>
      </c>
      <c r="I46" s="25">
        <f>IF(C46="",0,IF(C46=①基本情報!$E$5,③ライフイベント表!$E$9,0)+IF(C46=①基本情報!$E$5+5,③ライフイベント表!$E$10,0))</f>
        <v>0</v>
      </c>
      <c r="J46" s="26">
        <f t="shared" si="5"/>
        <v>220</v>
      </c>
      <c r="K46" s="25">
        <f>IF(C46="",0,IF(C46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46" s="25">
        <f>IF(C46="",0,IF((②相談時家計表!$E$15*12)=0,0,IF(C46&lt;①基本情報!$E$5,(②相談時家計表!$E$15*12),36)))</f>
        <v>36</v>
      </c>
      <c r="M46" s="25">
        <f>IF(C46="",0,IF(C46&lt;①基本情報!$E$5,(②相談時家計表!$E$20*12),(②相談時家計表!$E$20*12)*0.5))</f>
        <v>3</v>
      </c>
      <c r="N46" s="25">
        <f>IF(OR(C46="",①基本情報!$E$7=0,①基本情報!$E$8=99),0,IF((①基本情報!$E$8+A46)&lt;=③ライフイベント表!$E$6,③ライフイベント表!$E$5*①基本情報!$E$7,0))</f>
        <v>0</v>
      </c>
      <c r="O46" s="25">
        <f>IF(C46="",0,IF(C46&gt;=70,③ライフイベント表!$E$22,(②相談時家計表!$E$21*12)+(②相談時家計表!$E$27*12)))</f>
        <v>70</v>
      </c>
      <c r="P46" s="25">
        <f>IF(C46="",0,IF(AND(MOD(C46-①基本情報!$E$4,7)=0,C46&gt;①基本情報!$E$4,C46&lt;90),③ライフイベント表!$E$18/5,0)+IF(C46=①基本情報!$E$5+1,③ライフイベント表!$E$19,0)+IF(AND(①基本情報!$E$7&gt;0,C46=①基本情報!$E$4+(25-①基本情報!$E$8),①基本情報!$E$8&lt;25),③ライフイベント表!$E$20,0)+IF(AND(C46&gt;=①基本情報!$E$5,C46&lt;①基本情報!$E$5+10),③ライフイベント表!$E$21/10,0)+IF(C46=95,③ライフイベント表!$E$23,0))</f>
        <v>0</v>
      </c>
      <c r="Q46" s="27">
        <f t="shared" si="6"/>
        <v>260.2</v>
      </c>
      <c r="R46" s="28">
        <f t="shared" si="7"/>
        <v>-40.199999999999989</v>
      </c>
      <c r="S46" s="29">
        <f>IFERROR((S45+R46)*(1+IF(①基本情報!$E$10="",0,①基本情報!$E$10)),0)</f>
        <v>1299.6110301707649</v>
      </c>
    </row>
    <row r="47" spans="1:19" ht="18" customHeight="1">
      <c r="A47" s="30">
        <v>39</v>
      </c>
      <c r="B47" s="30">
        <f t="shared" si="4"/>
        <v>2065</v>
      </c>
      <c r="C47" s="30">
        <f>IF(①基本情報!$E$4="","",①基本情報!$E$4+A47)</f>
        <v>79</v>
      </c>
      <c r="D47" s="30">
        <f>IF(①基本情報!$E$4="","",IF(AND(②相談時家計表!$E$6=0,③ライフイベント表!$E$14&lt;=50,①基本情報!$E$6=0),"",C47+①基本情報!$E$6))</f>
        <v>76</v>
      </c>
      <c r="E47" s="31">
        <f>IF(OR(C47="",①基本情報!$E$5=""),0,IF(C47&lt;①基本情報!$E$5,(②相談時家計表!$E$5*12),IF(AND(C47&gt;=①基本情報!$E$5,C47&lt;③ライフイベント表!$E$12,③ライフイベント表!$E$12&gt;0),③ライフイベント表!$E$11,0)))</f>
        <v>0</v>
      </c>
      <c r="F47" s="31">
        <f>IF(OR(C47="",①基本情報!$E$5=""),0,IF(C47&lt;①基本情報!$E$5,(②相談時家計表!$E$6*12),0))</f>
        <v>0</v>
      </c>
      <c r="G47" s="31">
        <f>IF(OR(C47="",③ライフイベント表!$E$15=""),0,IF(C47&gt;=③ライフイベント表!$E$15,③ライフイベント表!$E$13,0))</f>
        <v>150</v>
      </c>
      <c r="H47" s="31">
        <f>IF(OR(D47="",D47=""),0,IF(AND(ISNUMBER(D47),D47&gt;=③ライフイベント表!$E$15),③ライフイベント表!$E$14,0))</f>
        <v>70</v>
      </c>
      <c r="I47" s="31">
        <f>IF(C47="",0,IF(C47=①基本情報!$E$5,③ライフイベント表!$E$9,0)+IF(C47=①基本情報!$E$5+5,③ライフイベント表!$E$10,0))</f>
        <v>0</v>
      </c>
      <c r="J47" s="32">
        <f t="shared" si="5"/>
        <v>220</v>
      </c>
      <c r="K47" s="31">
        <f>IF(C47="",0,IF(C47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47" s="31">
        <f>IF(C47="",0,IF((②相談時家計表!$E$15*12)=0,0,IF(C47&lt;①基本情報!$E$5,(②相談時家計表!$E$15*12),36)))</f>
        <v>36</v>
      </c>
      <c r="M47" s="31">
        <f>IF(C47="",0,IF(C47&lt;①基本情報!$E$5,(②相談時家計表!$E$20*12),(②相談時家計表!$E$20*12)*0.5))</f>
        <v>3</v>
      </c>
      <c r="N47" s="31">
        <f>IF(OR(C47="",①基本情報!$E$7=0,①基本情報!$E$8=99),0,IF((①基本情報!$E$8+A47)&lt;=③ライフイベント表!$E$6,③ライフイベント表!$E$5*①基本情報!$E$7,0))</f>
        <v>0</v>
      </c>
      <c r="O47" s="31">
        <f>IF(C47="",0,IF(C47&gt;=70,③ライフイベント表!$E$22,(②相談時家計表!$E$21*12)+(②相談時家計表!$E$27*12)))</f>
        <v>70</v>
      </c>
      <c r="P47" s="31">
        <f>IF(C47="",0,IF(AND(MOD(C47-①基本情報!$E$4,7)=0,C47&gt;①基本情報!$E$4,C47&lt;90),③ライフイベント表!$E$18/5,0)+IF(C47=①基本情報!$E$5+1,③ライフイベント表!$E$19,0)+IF(AND(①基本情報!$E$7&gt;0,C47=①基本情報!$E$4+(25-①基本情報!$E$8),①基本情報!$E$8&lt;25),③ライフイベント表!$E$20,0)+IF(AND(C47&gt;=①基本情報!$E$5,C47&lt;①基本情報!$E$5+10),③ライフイベント表!$E$21/10,0)+IF(C47=95,③ライフイベント表!$E$23,0))</f>
        <v>0</v>
      </c>
      <c r="Q47" s="33">
        <f t="shared" si="6"/>
        <v>260.2</v>
      </c>
      <c r="R47" s="34">
        <f t="shared" si="7"/>
        <v>-40.199999999999989</v>
      </c>
      <c r="S47" s="35">
        <f>IFERROR((S46+R47)*(1+IF(①基本情報!$E$10="",0,①基本情報!$E$10)),0)</f>
        <v>1265.7080853216187</v>
      </c>
    </row>
    <row r="48" spans="1:19" ht="18" customHeight="1">
      <c r="A48" s="4">
        <v>40</v>
      </c>
      <c r="B48" s="4">
        <f t="shared" si="4"/>
        <v>2066</v>
      </c>
      <c r="C48" s="4">
        <f>IF(①基本情報!$E$4="","",①基本情報!$E$4+A48)</f>
        <v>80</v>
      </c>
      <c r="D48" s="4">
        <f>IF(①基本情報!$E$4="","",IF(AND(②相談時家計表!$E$6=0,③ライフイベント表!$E$14&lt;=50,①基本情報!$E$6=0),"",C48+①基本情報!$E$6))</f>
        <v>77</v>
      </c>
      <c r="E48" s="25">
        <f>IF(OR(C48="",①基本情報!$E$5=""),0,IF(C48&lt;①基本情報!$E$5,(②相談時家計表!$E$5*12),IF(AND(C48&gt;=①基本情報!$E$5,C48&lt;③ライフイベント表!$E$12,③ライフイベント表!$E$12&gt;0),③ライフイベント表!$E$11,0)))</f>
        <v>0</v>
      </c>
      <c r="F48" s="25">
        <f>IF(OR(C48="",①基本情報!$E$5=""),0,IF(C48&lt;①基本情報!$E$5,(②相談時家計表!$E$6*12),0))</f>
        <v>0</v>
      </c>
      <c r="G48" s="25">
        <f>IF(OR(C48="",③ライフイベント表!$E$15=""),0,IF(C48&gt;=③ライフイベント表!$E$15,③ライフイベント表!$E$13,0))</f>
        <v>150</v>
      </c>
      <c r="H48" s="25">
        <f>IF(OR(D48="",D48=""),0,IF(AND(ISNUMBER(D48),D48&gt;=③ライフイベント表!$E$15),③ライフイベント表!$E$14,0))</f>
        <v>70</v>
      </c>
      <c r="I48" s="25">
        <f>IF(C48="",0,IF(C48=①基本情報!$E$5,③ライフイベント表!$E$9,0)+IF(C48=①基本情報!$E$5+5,③ライフイベント表!$E$10,0))</f>
        <v>0</v>
      </c>
      <c r="J48" s="26">
        <f t="shared" si="5"/>
        <v>220</v>
      </c>
      <c r="K48" s="25">
        <f>IF(C48="",0,IF(C48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48" s="25">
        <f>IF(C48="",0,IF((②相談時家計表!$E$15*12)=0,0,IF(C48&lt;①基本情報!$E$5,(②相談時家計表!$E$15*12),36)))</f>
        <v>36</v>
      </c>
      <c r="M48" s="25">
        <f>IF(C48="",0,IF(C48&lt;①基本情報!$E$5,(②相談時家計表!$E$20*12),(②相談時家計表!$E$20*12)*0.5))</f>
        <v>3</v>
      </c>
      <c r="N48" s="25">
        <f>IF(OR(C48="",①基本情報!$E$7=0,①基本情報!$E$8=99),0,IF((①基本情報!$E$8+A48)&lt;=③ライフイベント表!$E$6,③ライフイベント表!$E$5*①基本情報!$E$7,0))</f>
        <v>0</v>
      </c>
      <c r="O48" s="25">
        <f>IF(C48="",0,IF(C48&gt;=70,③ライフイベント表!$E$22,(②相談時家計表!$E$21*12)+(②相談時家計表!$E$27*12)))</f>
        <v>70</v>
      </c>
      <c r="P48" s="25">
        <f>IF(C48="",0,IF(AND(MOD(C48-①基本情報!$E$4,7)=0,C48&gt;①基本情報!$E$4,C48&lt;90),③ライフイベント表!$E$18/5,0)+IF(C48=①基本情報!$E$5+1,③ライフイベント表!$E$19,0)+IF(AND(①基本情報!$E$7&gt;0,C48=①基本情報!$E$4+(25-①基本情報!$E$8),①基本情報!$E$8&lt;25),③ライフイベント表!$E$20,0)+IF(AND(C48&gt;=①基本情報!$E$5,C48&lt;①基本情報!$E$5+10),③ライフイベント表!$E$21/10,0)+IF(C48=95,③ライフイベント表!$E$23,0))</f>
        <v>0</v>
      </c>
      <c r="Q48" s="27">
        <f t="shared" si="6"/>
        <v>260.2</v>
      </c>
      <c r="R48" s="28">
        <f t="shared" si="7"/>
        <v>-40.199999999999989</v>
      </c>
      <c r="S48" s="29">
        <f>IFERROR((S47+R48)*(1+IF(①基本情報!$E$10="",0,①基本情報!$E$10)),0)</f>
        <v>1231.6356257482266</v>
      </c>
    </row>
    <row r="49" spans="1:19" ht="18" customHeight="1">
      <c r="A49" s="30">
        <v>41</v>
      </c>
      <c r="B49" s="30">
        <f t="shared" si="4"/>
        <v>2067</v>
      </c>
      <c r="C49" s="30">
        <f>IF(①基本情報!$E$4="","",①基本情報!$E$4+A49)</f>
        <v>81</v>
      </c>
      <c r="D49" s="30">
        <f>IF(①基本情報!$E$4="","",IF(AND(②相談時家計表!$E$6=0,③ライフイベント表!$E$14&lt;=50,①基本情報!$E$6=0),"",C49+①基本情報!$E$6))</f>
        <v>78</v>
      </c>
      <c r="E49" s="31">
        <f>IF(OR(C49="",①基本情報!$E$5=""),0,IF(C49&lt;①基本情報!$E$5,(②相談時家計表!$E$5*12),IF(AND(C49&gt;=①基本情報!$E$5,C49&lt;③ライフイベント表!$E$12,③ライフイベント表!$E$12&gt;0),③ライフイベント表!$E$11,0)))</f>
        <v>0</v>
      </c>
      <c r="F49" s="31">
        <f>IF(OR(C49="",①基本情報!$E$5=""),0,IF(C49&lt;①基本情報!$E$5,(②相談時家計表!$E$6*12),0))</f>
        <v>0</v>
      </c>
      <c r="G49" s="31">
        <f>IF(OR(C49="",③ライフイベント表!$E$15=""),0,IF(C49&gt;=③ライフイベント表!$E$15,③ライフイベント表!$E$13,0))</f>
        <v>150</v>
      </c>
      <c r="H49" s="31">
        <f>IF(OR(D49="",D49=""),0,IF(AND(ISNUMBER(D49),D49&gt;=③ライフイベント表!$E$15),③ライフイベント表!$E$14,0))</f>
        <v>70</v>
      </c>
      <c r="I49" s="31">
        <f>IF(C49="",0,IF(C49=①基本情報!$E$5,③ライフイベント表!$E$9,0)+IF(C49=①基本情報!$E$5+5,③ライフイベント表!$E$10,0))</f>
        <v>0</v>
      </c>
      <c r="J49" s="32">
        <f t="shared" si="5"/>
        <v>220</v>
      </c>
      <c r="K49" s="31">
        <f>IF(C49="",0,IF(C49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49" s="31">
        <f>IF(C49="",0,IF((②相談時家計表!$E$15*12)=0,0,IF(C49&lt;①基本情報!$E$5,(②相談時家計表!$E$15*12),36)))</f>
        <v>36</v>
      </c>
      <c r="M49" s="31">
        <f>IF(C49="",0,IF(C49&lt;①基本情報!$E$5,(②相談時家計表!$E$20*12),(②相談時家計表!$E$20*12)*0.5))</f>
        <v>3</v>
      </c>
      <c r="N49" s="31">
        <f>IF(OR(C49="",①基本情報!$E$7=0,①基本情報!$E$8=99),0,IF((①基本情報!$E$8+A49)&lt;=③ライフイベント表!$E$6,③ライフイベント表!$E$5*①基本情報!$E$7,0))</f>
        <v>0</v>
      </c>
      <c r="O49" s="31">
        <f>IF(C49="",0,IF(C49&gt;=70,③ライフイベント表!$E$22,(②相談時家計表!$E$21*12)+(②相談時家計表!$E$27*12)))</f>
        <v>70</v>
      </c>
      <c r="P49" s="31">
        <f>IF(C49="",0,IF(AND(MOD(C49-①基本情報!$E$4,7)=0,C49&gt;①基本情報!$E$4,C49&lt;90),③ライフイベント表!$E$18/5,0)+IF(C49=①基本情報!$E$5+1,③ライフイベント表!$E$19,0)+IF(AND(①基本情報!$E$7&gt;0,C49=①基本情報!$E$4+(25-①基本情報!$E$8),①基本情報!$E$8&lt;25),③ライフイベント表!$E$20,0)+IF(AND(C49&gt;=①基本情報!$E$5,C49&lt;①基本情報!$E$5+10),③ライフイベント表!$E$21/10,0)+IF(C49=95,③ライフイベント表!$E$23,0))</f>
        <v>0</v>
      </c>
      <c r="Q49" s="33">
        <f t="shared" si="6"/>
        <v>260.2</v>
      </c>
      <c r="R49" s="34">
        <f t="shared" si="7"/>
        <v>-40.199999999999989</v>
      </c>
      <c r="S49" s="35">
        <f>IFERROR((S48+R49)*(1+IF(①基本情報!$E$10="",0,①基本情報!$E$10)),0)</f>
        <v>1197.3928038769675</v>
      </c>
    </row>
    <row r="50" spans="1:19" ht="18" customHeight="1">
      <c r="A50" s="4">
        <v>42</v>
      </c>
      <c r="B50" s="4">
        <f t="shared" si="4"/>
        <v>2068</v>
      </c>
      <c r="C50" s="4">
        <f>IF(①基本情報!$E$4="","",①基本情報!$E$4+A50)</f>
        <v>82</v>
      </c>
      <c r="D50" s="4">
        <f>IF(①基本情報!$E$4="","",IF(AND(②相談時家計表!$E$6=0,③ライフイベント表!$E$14&lt;=50,①基本情報!$E$6=0),"",C50+①基本情報!$E$6))</f>
        <v>79</v>
      </c>
      <c r="E50" s="25">
        <f>IF(OR(C50="",①基本情報!$E$5=""),0,IF(C50&lt;①基本情報!$E$5,(②相談時家計表!$E$5*12),IF(AND(C50&gt;=①基本情報!$E$5,C50&lt;③ライフイベント表!$E$12,③ライフイベント表!$E$12&gt;0),③ライフイベント表!$E$11,0)))</f>
        <v>0</v>
      </c>
      <c r="F50" s="25">
        <f>IF(OR(C50="",①基本情報!$E$5=""),0,IF(C50&lt;①基本情報!$E$5,(②相談時家計表!$E$6*12),0))</f>
        <v>0</v>
      </c>
      <c r="G50" s="25">
        <f>IF(OR(C50="",③ライフイベント表!$E$15=""),0,IF(C50&gt;=③ライフイベント表!$E$15,③ライフイベント表!$E$13,0))</f>
        <v>150</v>
      </c>
      <c r="H50" s="25">
        <f>IF(OR(D50="",D50=""),0,IF(AND(ISNUMBER(D50),D50&gt;=③ライフイベント表!$E$15),③ライフイベント表!$E$14,0))</f>
        <v>70</v>
      </c>
      <c r="I50" s="25">
        <f>IF(C50="",0,IF(C50=①基本情報!$E$5,③ライフイベント表!$E$9,0)+IF(C50=①基本情報!$E$5+5,③ライフイベント表!$E$10,0))</f>
        <v>0</v>
      </c>
      <c r="J50" s="26">
        <f t="shared" si="5"/>
        <v>220</v>
      </c>
      <c r="K50" s="25">
        <f>IF(C50="",0,IF(C50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50" s="25">
        <f>IF(C50="",0,IF((②相談時家計表!$E$15*12)=0,0,IF(C50&lt;①基本情報!$E$5,(②相談時家計表!$E$15*12),36)))</f>
        <v>36</v>
      </c>
      <c r="M50" s="25">
        <f>IF(C50="",0,IF(C50&lt;①基本情報!$E$5,(②相談時家計表!$E$20*12),(②相談時家計表!$E$20*12)*0.5))</f>
        <v>3</v>
      </c>
      <c r="N50" s="25">
        <f>IF(OR(C50="",①基本情報!$E$7=0,①基本情報!$E$8=99),0,IF((①基本情報!$E$8+A50)&lt;=③ライフイベント表!$E$6,③ライフイベント表!$E$5*①基本情報!$E$7,0))</f>
        <v>0</v>
      </c>
      <c r="O50" s="25">
        <f>IF(C50="",0,IF(C50&gt;=70,③ライフイベント表!$E$22,(②相談時家計表!$E$21*12)+(②相談時家計表!$E$27*12)))</f>
        <v>70</v>
      </c>
      <c r="P50" s="25">
        <f>IF(C50="",0,IF(AND(MOD(C50-①基本情報!$E$4,7)=0,C50&gt;①基本情報!$E$4,C50&lt;90),③ライフイベント表!$E$18/5,0)+IF(C50=①基本情報!$E$5+1,③ライフイベント表!$E$19,0)+IF(AND(①基本情報!$E$7&gt;0,C50=①基本情報!$E$4+(25-①基本情報!$E$8),①基本情報!$E$8&lt;25),③ライフイベント表!$E$20,0)+IF(AND(C50&gt;=①基本情報!$E$5,C50&lt;①基本情報!$E$5+10),③ライフイベント表!$E$21/10,0)+IF(C50=95,③ライフイベント表!$E$23,0))</f>
        <v>120</v>
      </c>
      <c r="Q50" s="27">
        <f t="shared" si="6"/>
        <v>380.2</v>
      </c>
      <c r="R50" s="28">
        <f t="shared" si="7"/>
        <v>-160.19999999999999</v>
      </c>
      <c r="S50" s="29">
        <f>IFERROR((S49+R50)*(1+IF(①基本情報!$E$10="",0,①基本情報!$E$10)),0)</f>
        <v>1042.3787678963522</v>
      </c>
    </row>
    <row r="51" spans="1:19" ht="18" customHeight="1">
      <c r="A51" s="30">
        <v>43</v>
      </c>
      <c r="B51" s="30">
        <f t="shared" si="4"/>
        <v>2069</v>
      </c>
      <c r="C51" s="30">
        <f>IF(①基本情報!$E$4="","",①基本情報!$E$4+A51)</f>
        <v>83</v>
      </c>
      <c r="D51" s="30">
        <f>IF(①基本情報!$E$4="","",IF(AND(②相談時家計表!$E$6=0,③ライフイベント表!$E$14&lt;=50,①基本情報!$E$6=0),"",C51+①基本情報!$E$6))</f>
        <v>80</v>
      </c>
      <c r="E51" s="31">
        <f>IF(OR(C51="",①基本情報!$E$5=""),0,IF(C51&lt;①基本情報!$E$5,(②相談時家計表!$E$5*12),IF(AND(C51&gt;=①基本情報!$E$5,C51&lt;③ライフイベント表!$E$12,③ライフイベント表!$E$12&gt;0),③ライフイベント表!$E$11,0)))</f>
        <v>0</v>
      </c>
      <c r="F51" s="31">
        <f>IF(OR(C51="",①基本情報!$E$5=""),0,IF(C51&lt;①基本情報!$E$5,(②相談時家計表!$E$6*12),0))</f>
        <v>0</v>
      </c>
      <c r="G51" s="31">
        <f>IF(OR(C51="",③ライフイベント表!$E$15=""),0,IF(C51&gt;=③ライフイベント表!$E$15,③ライフイベント表!$E$13,0))</f>
        <v>150</v>
      </c>
      <c r="H51" s="31">
        <f>IF(OR(D51="",D51=""),0,IF(AND(ISNUMBER(D51),D51&gt;=③ライフイベント表!$E$15),③ライフイベント表!$E$14,0))</f>
        <v>70</v>
      </c>
      <c r="I51" s="31">
        <f>IF(C51="",0,IF(C51=①基本情報!$E$5,③ライフイベント表!$E$9,0)+IF(C51=①基本情報!$E$5+5,③ライフイベント表!$E$10,0))</f>
        <v>0</v>
      </c>
      <c r="J51" s="32">
        <f t="shared" si="5"/>
        <v>220</v>
      </c>
      <c r="K51" s="31">
        <f>IF(C51="",0,IF(C51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51" s="31">
        <f>IF(C51="",0,IF((②相談時家計表!$E$15*12)=0,0,IF(C51&lt;①基本情報!$E$5,(②相談時家計表!$E$15*12),36)))</f>
        <v>36</v>
      </c>
      <c r="M51" s="31">
        <f>IF(C51="",0,IF(C51&lt;①基本情報!$E$5,(②相談時家計表!$E$20*12),(②相談時家計表!$E$20*12)*0.5))</f>
        <v>3</v>
      </c>
      <c r="N51" s="31">
        <f>IF(OR(C51="",①基本情報!$E$7=0,①基本情報!$E$8=99),0,IF((①基本情報!$E$8+A51)&lt;=③ライフイベント表!$E$6,③ライフイベント表!$E$5*①基本情報!$E$7,0))</f>
        <v>0</v>
      </c>
      <c r="O51" s="31">
        <f>IF(C51="",0,IF(C51&gt;=70,③ライフイベント表!$E$22,(②相談時家計表!$E$21*12)+(②相談時家計表!$E$27*12)))</f>
        <v>70</v>
      </c>
      <c r="P51" s="31">
        <f>IF(C51="",0,IF(AND(MOD(C51-①基本情報!$E$4,7)=0,C51&gt;①基本情報!$E$4,C51&lt;90),③ライフイベント表!$E$18/5,0)+IF(C51=①基本情報!$E$5+1,③ライフイベント表!$E$19,0)+IF(AND(①基本情報!$E$7&gt;0,C51=①基本情報!$E$4+(25-①基本情報!$E$8),①基本情報!$E$8&lt;25),③ライフイベント表!$E$20,0)+IF(AND(C51&gt;=①基本情報!$E$5,C51&lt;①基本情報!$E$5+10),③ライフイベント表!$E$21/10,0)+IF(C51=95,③ライフイベント表!$E$23,0))</f>
        <v>0</v>
      </c>
      <c r="Q51" s="33">
        <f t="shared" si="6"/>
        <v>260.2</v>
      </c>
      <c r="R51" s="34">
        <f t="shared" si="7"/>
        <v>-40.199999999999989</v>
      </c>
      <c r="S51" s="35">
        <f>IFERROR((S50+R51)*(1+IF(①基本情報!$E$10="",0,①基本情報!$E$10)),0)</f>
        <v>1007.1896617358339</v>
      </c>
    </row>
    <row r="52" spans="1:19" ht="18" customHeight="1">
      <c r="A52" s="4">
        <v>44</v>
      </c>
      <c r="B52" s="4">
        <f t="shared" si="4"/>
        <v>2070</v>
      </c>
      <c r="C52" s="4">
        <f>IF(①基本情報!$E$4="","",①基本情報!$E$4+A52)</f>
        <v>84</v>
      </c>
      <c r="D52" s="4">
        <f>IF(①基本情報!$E$4="","",IF(AND(②相談時家計表!$E$6=0,③ライフイベント表!$E$14&lt;=50,①基本情報!$E$6=0),"",C52+①基本情報!$E$6))</f>
        <v>81</v>
      </c>
      <c r="E52" s="25">
        <f>IF(OR(C52="",①基本情報!$E$5=""),0,IF(C52&lt;①基本情報!$E$5,(②相談時家計表!$E$5*12),IF(AND(C52&gt;=①基本情報!$E$5,C52&lt;③ライフイベント表!$E$12,③ライフイベント表!$E$12&gt;0),③ライフイベント表!$E$11,0)))</f>
        <v>0</v>
      </c>
      <c r="F52" s="25">
        <f>IF(OR(C52="",①基本情報!$E$5=""),0,IF(C52&lt;①基本情報!$E$5,(②相談時家計表!$E$6*12),0))</f>
        <v>0</v>
      </c>
      <c r="G52" s="25">
        <f>IF(OR(C52="",③ライフイベント表!$E$15=""),0,IF(C52&gt;=③ライフイベント表!$E$15,③ライフイベント表!$E$13,0))</f>
        <v>150</v>
      </c>
      <c r="H52" s="25">
        <f>IF(OR(D52="",D52=""),0,IF(AND(ISNUMBER(D52),D52&gt;=③ライフイベント表!$E$15),③ライフイベント表!$E$14,0))</f>
        <v>70</v>
      </c>
      <c r="I52" s="25">
        <f>IF(C52="",0,IF(C52=①基本情報!$E$5,③ライフイベント表!$E$9,0)+IF(C52=①基本情報!$E$5+5,③ライフイベント表!$E$10,0))</f>
        <v>0</v>
      </c>
      <c r="J52" s="26">
        <f t="shared" si="5"/>
        <v>220</v>
      </c>
      <c r="K52" s="25">
        <f>IF(C52="",0,IF(C52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52" s="25">
        <f>IF(C52="",0,IF((②相談時家計表!$E$15*12)=0,0,IF(C52&lt;①基本情報!$E$5,(②相談時家計表!$E$15*12),36)))</f>
        <v>36</v>
      </c>
      <c r="M52" s="25">
        <f>IF(C52="",0,IF(C52&lt;①基本情報!$E$5,(②相談時家計表!$E$20*12),(②相談時家計表!$E$20*12)*0.5))</f>
        <v>3</v>
      </c>
      <c r="N52" s="25">
        <f>IF(OR(C52="",①基本情報!$E$7=0,①基本情報!$E$8=99),0,IF((①基本情報!$E$8+A52)&lt;=③ライフイベント表!$E$6,③ライフイベント表!$E$5*①基本情報!$E$7,0))</f>
        <v>0</v>
      </c>
      <c r="O52" s="25">
        <f>IF(C52="",0,IF(C52&gt;=70,③ライフイベント表!$E$22,(②相談時家計表!$E$21*12)+(②相談時家計表!$E$27*12)))</f>
        <v>70</v>
      </c>
      <c r="P52" s="25">
        <f>IF(C52="",0,IF(AND(MOD(C52-①基本情報!$E$4,7)=0,C52&gt;①基本情報!$E$4,C52&lt;90),③ライフイベント表!$E$18/5,0)+IF(C52=①基本情報!$E$5+1,③ライフイベント表!$E$19,0)+IF(AND(①基本情報!$E$7&gt;0,C52=①基本情報!$E$4+(25-①基本情報!$E$8),①基本情報!$E$8&lt;25),③ライフイベント表!$E$20,0)+IF(AND(C52&gt;=①基本情報!$E$5,C52&lt;①基本情報!$E$5+10),③ライフイベント表!$E$21/10,0)+IF(C52=95,③ライフイベント表!$E$23,0))</f>
        <v>0</v>
      </c>
      <c r="Q52" s="27">
        <f t="shared" si="6"/>
        <v>260.2</v>
      </c>
      <c r="R52" s="28">
        <f t="shared" si="7"/>
        <v>-40.199999999999989</v>
      </c>
      <c r="S52" s="29">
        <f>IFERROR((S51+R52)*(1+IF(①基本情報!$E$10="",0,①基本情報!$E$10)),0)</f>
        <v>971.82461004451284</v>
      </c>
    </row>
    <row r="53" spans="1:19" ht="18" customHeight="1">
      <c r="A53" s="30">
        <v>45</v>
      </c>
      <c r="B53" s="30">
        <f t="shared" si="4"/>
        <v>2071</v>
      </c>
      <c r="C53" s="30">
        <f>IF(①基本情報!$E$4="","",①基本情報!$E$4+A53)</f>
        <v>85</v>
      </c>
      <c r="D53" s="30">
        <f>IF(①基本情報!$E$4="","",IF(AND(②相談時家計表!$E$6=0,③ライフイベント表!$E$14&lt;=50,①基本情報!$E$6=0),"",C53+①基本情報!$E$6))</f>
        <v>82</v>
      </c>
      <c r="E53" s="31">
        <f>IF(OR(C53="",①基本情報!$E$5=""),0,IF(C53&lt;①基本情報!$E$5,(②相談時家計表!$E$5*12),IF(AND(C53&gt;=①基本情報!$E$5,C53&lt;③ライフイベント表!$E$12,③ライフイベント表!$E$12&gt;0),③ライフイベント表!$E$11,0)))</f>
        <v>0</v>
      </c>
      <c r="F53" s="31">
        <f>IF(OR(C53="",①基本情報!$E$5=""),0,IF(C53&lt;①基本情報!$E$5,(②相談時家計表!$E$6*12),0))</f>
        <v>0</v>
      </c>
      <c r="G53" s="31">
        <f>IF(OR(C53="",③ライフイベント表!$E$15=""),0,IF(C53&gt;=③ライフイベント表!$E$15,③ライフイベント表!$E$13,0))</f>
        <v>150</v>
      </c>
      <c r="H53" s="31">
        <f>IF(OR(D53="",D53=""),0,IF(AND(ISNUMBER(D53),D53&gt;=③ライフイベント表!$E$15),③ライフイベント表!$E$14,0))</f>
        <v>70</v>
      </c>
      <c r="I53" s="31">
        <f>IF(C53="",0,IF(C53=①基本情報!$E$5,③ライフイベント表!$E$9,0)+IF(C53=①基本情報!$E$5+5,③ライフイベント表!$E$10,0))</f>
        <v>0</v>
      </c>
      <c r="J53" s="32">
        <f t="shared" si="5"/>
        <v>220</v>
      </c>
      <c r="K53" s="31">
        <f>IF(C53="",0,IF(C53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53" s="31">
        <f>IF(C53="",0,IF((②相談時家計表!$E$15*12)=0,0,IF(C53&lt;①基本情報!$E$5,(②相談時家計表!$E$15*12),36)))</f>
        <v>36</v>
      </c>
      <c r="M53" s="31">
        <f>IF(C53="",0,IF(C53&lt;①基本情報!$E$5,(②相談時家計表!$E$20*12),(②相談時家計表!$E$20*12)*0.5))</f>
        <v>3</v>
      </c>
      <c r="N53" s="31">
        <f>IF(OR(C53="",①基本情報!$E$7=0,①基本情報!$E$8=99),0,IF((①基本情報!$E$8+A53)&lt;=③ライフイベント表!$E$6,③ライフイベント表!$E$5*①基本情報!$E$7,0))</f>
        <v>0</v>
      </c>
      <c r="O53" s="31">
        <f>IF(C53="",0,IF(C53&gt;=70,③ライフイベント表!$E$22,(②相談時家計表!$E$21*12)+(②相談時家計表!$E$27*12)))</f>
        <v>70</v>
      </c>
      <c r="P53" s="31">
        <f>IF(C53="",0,IF(AND(MOD(C53-①基本情報!$E$4,7)=0,C53&gt;①基本情報!$E$4,C53&lt;90),③ライフイベント表!$E$18/5,0)+IF(C53=①基本情報!$E$5+1,③ライフイベント表!$E$19,0)+IF(AND(①基本情報!$E$7&gt;0,C53=①基本情報!$E$4+(25-①基本情報!$E$8),①基本情報!$E$8&lt;25),③ライフイベント表!$E$20,0)+IF(AND(C53&gt;=①基本情報!$E$5,C53&lt;①基本情報!$E$5+10),③ライフイベント表!$E$21/10,0)+IF(C53=95,③ライフイベント表!$E$23,0))</f>
        <v>0</v>
      </c>
      <c r="Q53" s="33">
        <f t="shared" si="6"/>
        <v>260.2</v>
      </c>
      <c r="R53" s="34">
        <f t="shared" si="7"/>
        <v>-40.199999999999989</v>
      </c>
      <c r="S53" s="35">
        <f>IFERROR((S52+R53)*(1+IF(①基本情報!$E$10="",0,①基本情報!$E$10)),0)</f>
        <v>936.28273309473525</v>
      </c>
    </row>
    <row r="54" spans="1:19" ht="18" customHeight="1">
      <c r="A54" s="4">
        <v>46</v>
      </c>
      <c r="B54" s="4">
        <f t="shared" si="4"/>
        <v>2072</v>
      </c>
      <c r="C54" s="4">
        <f>IF(①基本情報!$E$4="","",①基本情報!$E$4+A54)</f>
        <v>86</v>
      </c>
      <c r="D54" s="4">
        <f>IF(①基本情報!$E$4="","",IF(AND(②相談時家計表!$E$6=0,③ライフイベント表!$E$14&lt;=50,①基本情報!$E$6=0),"",C54+①基本情報!$E$6))</f>
        <v>83</v>
      </c>
      <c r="E54" s="25">
        <f>IF(OR(C54="",①基本情報!$E$5=""),0,IF(C54&lt;①基本情報!$E$5,(②相談時家計表!$E$5*12),IF(AND(C54&gt;=①基本情報!$E$5,C54&lt;③ライフイベント表!$E$12,③ライフイベント表!$E$12&gt;0),③ライフイベント表!$E$11,0)))</f>
        <v>0</v>
      </c>
      <c r="F54" s="25">
        <f>IF(OR(C54="",①基本情報!$E$5=""),0,IF(C54&lt;①基本情報!$E$5,(②相談時家計表!$E$6*12),0))</f>
        <v>0</v>
      </c>
      <c r="G54" s="25">
        <f>IF(OR(C54="",③ライフイベント表!$E$15=""),0,IF(C54&gt;=③ライフイベント表!$E$15,③ライフイベント表!$E$13,0))</f>
        <v>150</v>
      </c>
      <c r="H54" s="25">
        <f>IF(OR(D54="",D54=""),0,IF(AND(ISNUMBER(D54),D54&gt;=③ライフイベント表!$E$15),③ライフイベント表!$E$14,0))</f>
        <v>70</v>
      </c>
      <c r="I54" s="25">
        <f>IF(C54="",0,IF(C54=①基本情報!$E$5,③ライフイベント表!$E$9,0)+IF(C54=①基本情報!$E$5+5,③ライフイベント表!$E$10,0))</f>
        <v>0</v>
      </c>
      <c r="J54" s="26">
        <f t="shared" si="5"/>
        <v>220</v>
      </c>
      <c r="K54" s="25">
        <f>IF(C54="",0,IF(C54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54" s="25">
        <f>IF(C54="",0,IF((②相談時家計表!$E$15*12)=0,0,IF(C54&lt;①基本情報!$E$5,(②相談時家計表!$E$15*12),36)))</f>
        <v>36</v>
      </c>
      <c r="M54" s="25">
        <f>IF(C54="",0,IF(C54&lt;①基本情報!$E$5,(②相談時家計表!$E$20*12),(②相談時家計表!$E$20*12)*0.5))</f>
        <v>3</v>
      </c>
      <c r="N54" s="25">
        <f>IF(OR(C54="",①基本情報!$E$7=0,①基本情報!$E$8=99),0,IF((①基本情報!$E$8+A54)&lt;=③ライフイベント表!$E$6,③ライフイベント表!$E$5*①基本情報!$E$7,0))</f>
        <v>0</v>
      </c>
      <c r="O54" s="25">
        <f>IF(C54="",0,IF(C54&gt;=70,③ライフイベント表!$E$22,(②相談時家計表!$E$21*12)+(②相談時家計表!$E$27*12)))</f>
        <v>70</v>
      </c>
      <c r="P54" s="25">
        <f>IF(C54="",0,IF(AND(MOD(C54-①基本情報!$E$4,7)=0,C54&gt;①基本情報!$E$4,C54&lt;90),③ライフイベント表!$E$18/5,0)+IF(C54=①基本情報!$E$5+1,③ライフイベント表!$E$19,0)+IF(AND(①基本情報!$E$7&gt;0,C54=①基本情報!$E$4+(25-①基本情報!$E$8),①基本情報!$E$8&lt;25),③ライフイベント表!$E$20,0)+IF(AND(C54&gt;=①基本情報!$E$5,C54&lt;①基本情報!$E$5+10),③ライフイベント表!$E$21/10,0)+IF(C54=95,③ライフイベント表!$E$23,0))</f>
        <v>0</v>
      </c>
      <c r="Q54" s="27">
        <f t="shared" si="6"/>
        <v>260.2</v>
      </c>
      <c r="R54" s="28">
        <f t="shared" si="7"/>
        <v>-40.199999999999989</v>
      </c>
      <c r="S54" s="29">
        <f>IFERROR((S53+R54)*(1+IF(①基本情報!$E$10="",0,①基本情報!$E$10)),0)</f>
        <v>900.56314676020884</v>
      </c>
    </row>
    <row r="55" spans="1:19" ht="18" customHeight="1">
      <c r="A55" s="30">
        <v>47</v>
      </c>
      <c r="B55" s="30">
        <f t="shared" si="4"/>
        <v>2073</v>
      </c>
      <c r="C55" s="30">
        <f>IF(①基本情報!$E$4="","",①基本情報!$E$4+A55)</f>
        <v>87</v>
      </c>
      <c r="D55" s="30">
        <f>IF(①基本情報!$E$4="","",IF(AND(②相談時家計表!$E$6=0,③ライフイベント表!$E$14&lt;=50,①基本情報!$E$6=0),"",C55+①基本情報!$E$6))</f>
        <v>84</v>
      </c>
      <c r="E55" s="31">
        <f>IF(OR(C55="",①基本情報!$E$5=""),0,IF(C55&lt;①基本情報!$E$5,(②相談時家計表!$E$5*12),IF(AND(C55&gt;=①基本情報!$E$5,C55&lt;③ライフイベント表!$E$12,③ライフイベント表!$E$12&gt;0),③ライフイベント表!$E$11,0)))</f>
        <v>0</v>
      </c>
      <c r="F55" s="31">
        <f>IF(OR(C55="",①基本情報!$E$5=""),0,IF(C55&lt;①基本情報!$E$5,(②相談時家計表!$E$6*12),0))</f>
        <v>0</v>
      </c>
      <c r="G55" s="31">
        <f>IF(OR(C55="",③ライフイベント表!$E$15=""),0,IF(C55&gt;=③ライフイベント表!$E$15,③ライフイベント表!$E$13,0))</f>
        <v>150</v>
      </c>
      <c r="H55" s="31">
        <f>IF(OR(D55="",D55=""),0,IF(AND(ISNUMBER(D55),D55&gt;=③ライフイベント表!$E$15),③ライフイベント表!$E$14,0))</f>
        <v>70</v>
      </c>
      <c r="I55" s="31">
        <f>IF(C55="",0,IF(C55=①基本情報!$E$5,③ライフイベント表!$E$9,0)+IF(C55=①基本情報!$E$5+5,③ライフイベント表!$E$10,0))</f>
        <v>0</v>
      </c>
      <c r="J55" s="32">
        <f t="shared" si="5"/>
        <v>220</v>
      </c>
      <c r="K55" s="31">
        <f>IF(C55="",0,IF(C55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55" s="31">
        <f>IF(C55="",0,IF((②相談時家計表!$E$15*12)=0,0,IF(C55&lt;①基本情報!$E$5,(②相談時家計表!$E$15*12),36)))</f>
        <v>36</v>
      </c>
      <c r="M55" s="31">
        <f>IF(C55="",0,IF(C55&lt;①基本情報!$E$5,(②相談時家計表!$E$20*12),(②相談時家計表!$E$20*12)*0.5))</f>
        <v>3</v>
      </c>
      <c r="N55" s="31">
        <f>IF(OR(C55="",①基本情報!$E$7=0,①基本情報!$E$8=99),0,IF((①基本情報!$E$8+A55)&lt;=③ライフイベント表!$E$6,③ライフイベント表!$E$5*①基本情報!$E$7,0))</f>
        <v>0</v>
      </c>
      <c r="O55" s="31">
        <f>IF(C55="",0,IF(C55&gt;=70,③ライフイベント表!$E$22,(②相談時家計表!$E$21*12)+(②相談時家計表!$E$27*12)))</f>
        <v>70</v>
      </c>
      <c r="P55" s="31">
        <f>IF(C55="",0,IF(AND(MOD(C55-①基本情報!$E$4,7)=0,C55&gt;①基本情報!$E$4,C55&lt;90),③ライフイベント表!$E$18/5,0)+IF(C55=①基本情報!$E$5+1,③ライフイベント表!$E$19,0)+IF(AND(①基本情報!$E$7&gt;0,C55=①基本情報!$E$4+(25-①基本情報!$E$8),①基本情報!$E$8&lt;25),③ライフイベント表!$E$20,0)+IF(AND(C55&gt;=①基本情報!$E$5,C55&lt;①基本情報!$E$5+10),③ライフイベント表!$E$21/10,0)+IF(C55=95,③ライフイベント表!$E$23,0))</f>
        <v>0</v>
      </c>
      <c r="Q55" s="33">
        <f t="shared" si="6"/>
        <v>260.2</v>
      </c>
      <c r="R55" s="34">
        <f t="shared" si="7"/>
        <v>-40.199999999999989</v>
      </c>
      <c r="S55" s="35">
        <f>IFERROR((S54+R55)*(1+IF(①基本情報!$E$10="",0,①基本情報!$E$10)),0)</f>
        <v>864.66496249400973</v>
      </c>
    </row>
    <row r="56" spans="1:19" ht="18" customHeight="1">
      <c r="A56" s="4">
        <v>48</v>
      </c>
      <c r="B56" s="4">
        <f t="shared" si="4"/>
        <v>2074</v>
      </c>
      <c r="C56" s="4">
        <f>IF(①基本情報!$E$4="","",①基本情報!$E$4+A56)</f>
        <v>88</v>
      </c>
      <c r="D56" s="4">
        <f>IF(①基本情報!$E$4="","",IF(AND(②相談時家計表!$E$6=0,③ライフイベント表!$E$14&lt;=50,①基本情報!$E$6=0),"",C56+①基本情報!$E$6))</f>
        <v>85</v>
      </c>
      <c r="E56" s="25">
        <f>IF(OR(C56="",①基本情報!$E$5=""),0,IF(C56&lt;①基本情報!$E$5,(②相談時家計表!$E$5*12),IF(AND(C56&gt;=①基本情報!$E$5,C56&lt;③ライフイベント表!$E$12,③ライフイベント表!$E$12&gt;0),③ライフイベント表!$E$11,0)))</f>
        <v>0</v>
      </c>
      <c r="F56" s="25">
        <f>IF(OR(C56="",①基本情報!$E$5=""),0,IF(C56&lt;①基本情報!$E$5,(②相談時家計表!$E$6*12),0))</f>
        <v>0</v>
      </c>
      <c r="G56" s="25">
        <f>IF(OR(C56="",③ライフイベント表!$E$15=""),0,IF(C56&gt;=③ライフイベント表!$E$15,③ライフイベント表!$E$13,0))</f>
        <v>150</v>
      </c>
      <c r="H56" s="25">
        <f>IF(OR(D56="",D56=""),0,IF(AND(ISNUMBER(D56),D56&gt;=③ライフイベント表!$E$15),③ライフイベント表!$E$14,0))</f>
        <v>70</v>
      </c>
      <c r="I56" s="25">
        <f>IF(C56="",0,IF(C56=①基本情報!$E$5,③ライフイベント表!$E$9,0)+IF(C56=①基本情報!$E$5+5,③ライフイベント表!$E$10,0))</f>
        <v>0</v>
      </c>
      <c r="J56" s="26">
        <f t="shared" si="5"/>
        <v>220</v>
      </c>
      <c r="K56" s="25">
        <f>IF(C56="",0,IF(C56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56" s="25">
        <f>IF(C56="",0,IF((②相談時家計表!$E$15*12)=0,0,IF(C56&lt;①基本情報!$E$5,(②相談時家計表!$E$15*12),36)))</f>
        <v>36</v>
      </c>
      <c r="M56" s="25">
        <f>IF(C56="",0,IF(C56&lt;①基本情報!$E$5,(②相談時家計表!$E$20*12),(②相談時家計表!$E$20*12)*0.5))</f>
        <v>3</v>
      </c>
      <c r="N56" s="25">
        <f>IF(OR(C56="",①基本情報!$E$7=0,①基本情報!$E$8=99),0,IF((①基本情報!$E$8+A56)&lt;=③ライフイベント表!$E$6,③ライフイベント表!$E$5*①基本情報!$E$7,0))</f>
        <v>0</v>
      </c>
      <c r="O56" s="25">
        <f>IF(C56="",0,IF(C56&gt;=70,③ライフイベント表!$E$22,(②相談時家計表!$E$21*12)+(②相談時家計表!$E$27*12)))</f>
        <v>70</v>
      </c>
      <c r="P56" s="25">
        <f>IF(C56="",0,IF(AND(MOD(C56-①基本情報!$E$4,7)=0,C56&gt;①基本情報!$E$4,C56&lt;90),③ライフイベント表!$E$18/5,0)+IF(C56=①基本情報!$E$5+1,③ライフイベント表!$E$19,0)+IF(AND(①基本情報!$E$7&gt;0,C56=①基本情報!$E$4+(25-①基本情報!$E$8),①基本情報!$E$8&lt;25),③ライフイベント表!$E$20,0)+IF(AND(C56&gt;=①基本情報!$E$5,C56&lt;①基本情報!$E$5+10),③ライフイベント表!$E$21/10,0)+IF(C56=95,③ライフイベント表!$E$23,0))</f>
        <v>0</v>
      </c>
      <c r="Q56" s="27">
        <f t="shared" si="6"/>
        <v>260.2</v>
      </c>
      <c r="R56" s="28">
        <f t="shared" si="7"/>
        <v>-40.199999999999989</v>
      </c>
      <c r="S56" s="29">
        <f>IFERROR((S55+R56)*(1+IF(①基本情報!$E$10="",0,①基本情報!$E$10)),0)</f>
        <v>828.58728730647977</v>
      </c>
    </row>
    <row r="57" spans="1:19" ht="18" customHeight="1">
      <c r="A57" s="30">
        <v>49</v>
      </c>
      <c r="B57" s="30">
        <f t="shared" si="4"/>
        <v>2075</v>
      </c>
      <c r="C57" s="30">
        <f>IF(①基本情報!$E$4="","",①基本情報!$E$4+A57)</f>
        <v>89</v>
      </c>
      <c r="D57" s="30">
        <f>IF(①基本情報!$E$4="","",IF(AND(②相談時家計表!$E$6=0,③ライフイベント表!$E$14&lt;=50,①基本情報!$E$6=0),"",C57+①基本情報!$E$6))</f>
        <v>86</v>
      </c>
      <c r="E57" s="31">
        <f>IF(OR(C57="",①基本情報!$E$5=""),0,IF(C57&lt;①基本情報!$E$5,(②相談時家計表!$E$5*12),IF(AND(C57&gt;=①基本情報!$E$5,C57&lt;③ライフイベント表!$E$12,③ライフイベント表!$E$12&gt;0),③ライフイベント表!$E$11,0)))</f>
        <v>0</v>
      </c>
      <c r="F57" s="31">
        <f>IF(OR(C57="",①基本情報!$E$5=""),0,IF(C57&lt;①基本情報!$E$5,(②相談時家計表!$E$6*12),0))</f>
        <v>0</v>
      </c>
      <c r="G57" s="31">
        <f>IF(OR(C57="",③ライフイベント表!$E$15=""),0,IF(C57&gt;=③ライフイベント表!$E$15,③ライフイベント表!$E$13,0))</f>
        <v>150</v>
      </c>
      <c r="H57" s="31">
        <f>IF(OR(D57="",D57=""),0,IF(AND(ISNUMBER(D57),D57&gt;=③ライフイベント表!$E$15),③ライフイベント表!$E$14,0))</f>
        <v>70</v>
      </c>
      <c r="I57" s="31">
        <f>IF(C57="",0,IF(C57=①基本情報!$E$5,③ライフイベント表!$E$9,0)+IF(C57=①基本情報!$E$5+5,③ライフイベント表!$E$10,0))</f>
        <v>0</v>
      </c>
      <c r="J57" s="32">
        <f t="shared" si="5"/>
        <v>220</v>
      </c>
      <c r="K57" s="31">
        <f>IF(C57="",0,IF(C57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57" s="31">
        <f>IF(C57="",0,IF((②相談時家計表!$E$15*12)=0,0,IF(C57&lt;①基本情報!$E$5,(②相談時家計表!$E$15*12),36)))</f>
        <v>36</v>
      </c>
      <c r="M57" s="31">
        <f>IF(C57="",0,IF(C57&lt;①基本情報!$E$5,(②相談時家計表!$E$20*12),(②相談時家計表!$E$20*12)*0.5))</f>
        <v>3</v>
      </c>
      <c r="N57" s="31">
        <f>IF(OR(C57="",①基本情報!$E$7=0,①基本情報!$E$8=99),0,IF((①基本情報!$E$8+A57)&lt;=③ライフイベント表!$E$6,③ライフイベント表!$E$5*①基本情報!$E$7,0))</f>
        <v>0</v>
      </c>
      <c r="O57" s="31">
        <f>IF(C57="",0,IF(C57&gt;=70,③ライフイベント表!$E$22,(②相談時家計表!$E$21*12)+(②相談時家計表!$E$27*12)))</f>
        <v>70</v>
      </c>
      <c r="P57" s="31">
        <f>IF(C57="",0,IF(AND(MOD(C57-①基本情報!$E$4,7)=0,C57&gt;①基本情報!$E$4,C57&lt;90),③ライフイベント表!$E$18/5,0)+IF(C57=①基本情報!$E$5+1,③ライフイベント表!$E$19,0)+IF(AND(①基本情報!$E$7&gt;0,C57=①基本情報!$E$4+(25-①基本情報!$E$8),①基本情報!$E$8&lt;25),③ライフイベント表!$E$20,0)+IF(AND(C57&gt;=①基本情報!$E$5,C57&lt;①基本情報!$E$5+10),③ライフイベント表!$E$21/10,0)+IF(C57=95,③ライフイベント表!$E$23,0))</f>
        <v>120</v>
      </c>
      <c r="Q57" s="33">
        <f t="shared" si="6"/>
        <v>380.2</v>
      </c>
      <c r="R57" s="34">
        <f t="shared" si="7"/>
        <v>-160.19999999999999</v>
      </c>
      <c r="S57" s="35">
        <f>IFERROR((S56+R57)*(1+IF(①基本情報!$E$10="",0,①基本情報!$E$10)),0)</f>
        <v>671.72922374301208</v>
      </c>
    </row>
    <row r="58" spans="1:19" ht="18" customHeight="1">
      <c r="A58" s="4">
        <v>50</v>
      </c>
      <c r="B58" s="4">
        <f t="shared" si="4"/>
        <v>2076</v>
      </c>
      <c r="C58" s="4">
        <f>IF(①基本情報!$E$4="","",①基本情報!$E$4+A58)</f>
        <v>90</v>
      </c>
      <c r="D58" s="4">
        <f>IF(①基本情報!$E$4="","",IF(AND(②相談時家計表!$E$6=0,③ライフイベント表!$E$14&lt;=50,①基本情報!$E$6=0),"",C58+①基本情報!$E$6))</f>
        <v>87</v>
      </c>
      <c r="E58" s="25">
        <f>IF(OR(C58="",①基本情報!$E$5=""),0,IF(C58&lt;①基本情報!$E$5,(②相談時家計表!$E$5*12),IF(AND(C58&gt;=①基本情報!$E$5,C58&lt;③ライフイベント表!$E$12,③ライフイベント表!$E$12&gt;0),③ライフイベント表!$E$11,0)))</f>
        <v>0</v>
      </c>
      <c r="F58" s="25">
        <f>IF(OR(C58="",①基本情報!$E$5=""),0,IF(C58&lt;①基本情報!$E$5,(②相談時家計表!$E$6*12),0))</f>
        <v>0</v>
      </c>
      <c r="G58" s="25">
        <f>IF(OR(C58="",③ライフイベント表!$E$15=""),0,IF(C58&gt;=③ライフイベント表!$E$15,③ライフイベント表!$E$13,0))</f>
        <v>150</v>
      </c>
      <c r="H58" s="25">
        <f>IF(OR(D58="",D58=""),0,IF(AND(ISNUMBER(D58),D58&gt;=③ライフイベント表!$E$15),③ライフイベント表!$E$14,0))</f>
        <v>70</v>
      </c>
      <c r="I58" s="25">
        <f>IF(C58="",0,IF(C58=①基本情報!$E$5,③ライフイベント表!$E$9,0)+IF(C58=①基本情報!$E$5+5,③ライフイベント表!$E$10,0))</f>
        <v>0</v>
      </c>
      <c r="J58" s="26">
        <f t="shared" si="5"/>
        <v>220</v>
      </c>
      <c r="K58" s="25">
        <f>IF(C58="",0,IF(C58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58" s="25">
        <f>IF(C58="",0,IF((②相談時家計表!$E$15*12)=0,0,IF(C58&lt;①基本情報!$E$5,(②相談時家計表!$E$15*12),36)))</f>
        <v>36</v>
      </c>
      <c r="M58" s="25">
        <f>IF(C58="",0,IF(C58&lt;①基本情報!$E$5,(②相談時家計表!$E$20*12),(②相談時家計表!$E$20*12)*0.5))</f>
        <v>3</v>
      </c>
      <c r="N58" s="25">
        <f>IF(OR(C58="",①基本情報!$E$7=0,①基本情報!$E$8=99),0,IF((①基本情報!$E$8+A58)&lt;=③ライフイベント表!$E$6,③ライフイベント表!$E$5*①基本情報!$E$7,0))</f>
        <v>0</v>
      </c>
      <c r="O58" s="25">
        <f>IF(C58="",0,IF(C58&gt;=70,③ライフイベント表!$E$22,(②相談時家計表!$E$21*12)+(②相談時家計表!$E$27*12)))</f>
        <v>70</v>
      </c>
      <c r="P58" s="25">
        <f>IF(C58="",0,IF(AND(MOD(C58-①基本情報!$E$4,7)=0,C58&gt;①基本情報!$E$4,C58&lt;90),③ライフイベント表!$E$18/5,0)+IF(C58=①基本情報!$E$5+1,③ライフイベント表!$E$19,0)+IF(AND(①基本情報!$E$7&gt;0,C58=①基本情報!$E$4+(25-①基本情報!$E$8),①基本情報!$E$8&lt;25),③ライフイベント表!$E$20,0)+IF(AND(C58&gt;=①基本情報!$E$5,C58&lt;①基本情報!$E$5+10),③ライフイベント表!$E$21/10,0)+IF(C58=95,③ライフイベント表!$E$23,0))</f>
        <v>0</v>
      </c>
      <c r="Q58" s="27">
        <f t="shared" si="6"/>
        <v>260.2</v>
      </c>
      <c r="R58" s="28">
        <f t="shared" si="7"/>
        <v>-40.199999999999989</v>
      </c>
      <c r="S58" s="29">
        <f>IFERROR((S57+R58)*(1+IF(①基本情報!$E$10="",0,①基本情報!$E$10)),0)</f>
        <v>634.68686986172713</v>
      </c>
    </row>
    <row r="59" spans="1:19" ht="18" customHeight="1">
      <c r="A59" s="30">
        <v>51</v>
      </c>
      <c r="B59" s="30">
        <f t="shared" si="4"/>
        <v>2077</v>
      </c>
      <c r="C59" s="30">
        <f>IF(①基本情報!$E$4="","",①基本情報!$E$4+A59)</f>
        <v>91</v>
      </c>
      <c r="D59" s="30">
        <f>IF(①基本情報!$E$4="","",IF(AND(②相談時家計表!$E$6=0,③ライフイベント表!$E$14&lt;=50,①基本情報!$E$6=0),"",C59+①基本情報!$E$6))</f>
        <v>88</v>
      </c>
      <c r="E59" s="31">
        <f>IF(OR(C59="",①基本情報!$E$5=""),0,IF(C59&lt;①基本情報!$E$5,(②相談時家計表!$E$5*12),IF(AND(C59&gt;=①基本情報!$E$5,C59&lt;③ライフイベント表!$E$12,③ライフイベント表!$E$12&gt;0),③ライフイベント表!$E$11,0)))</f>
        <v>0</v>
      </c>
      <c r="F59" s="31">
        <f>IF(OR(C59="",①基本情報!$E$5=""),0,IF(C59&lt;①基本情報!$E$5,(②相談時家計表!$E$6*12),0))</f>
        <v>0</v>
      </c>
      <c r="G59" s="31">
        <f>IF(OR(C59="",③ライフイベント表!$E$15=""),0,IF(C59&gt;=③ライフイベント表!$E$15,③ライフイベント表!$E$13,0))</f>
        <v>150</v>
      </c>
      <c r="H59" s="31">
        <f>IF(OR(D59="",D59=""),0,IF(AND(ISNUMBER(D59),D59&gt;=③ライフイベント表!$E$15),③ライフイベント表!$E$14,0))</f>
        <v>70</v>
      </c>
      <c r="I59" s="31">
        <f>IF(C59="",0,IF(C59=①基本情報!$E$5,③ライフイベント表!$E$9,0)+IF(C59=①基本情報!$E$5+5,③ライフイベント表!$E$10,0))</f>
        <v>0</v>
      </c>
      <c r="J59" s="32">
        <f t="shared" si="5"/>
        <v>220</v>
      </c>
      <c r="K59" s="31">
        <f>IF(C59="",0,IF(C59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59" s="31">
        <f>IF(C59="",0,IF((②相談時家計表!$E$15*12)=0,0,IF(C59&lt;①基本情報!$E$5,(②相談時家計表!$E$15*12),36)))</f>
        <v>36</v>
      </c>
      <c r="M59" s="31">
        <f>IF(C59="",0,IF(C59&lt;①基本情報!$E$5,(②相談時家計表!$E$20*12),(②相談時家計表!$E$20*12)*0.5))</f>
        <v>3</v>
      </c>
      <c r="N59" s="31">
        <f>IF(OR(C59="",①基本情報!$E$7=0,①基本情報!$E$8=99),0,IF((①基本情報!$E$8+A59)&lt;=③ライフイベント表!$E$6,③ライフイベント表!$E$5*①基本情報!$E$7,0))</f>
        <v>0</v>
      </c>
      <c r="O59" s="31">
        <f>IF(C59="",0,IF(C59&gt;=70,③ライフイベント表!$E$22,(②相談時家計表!$E$21*12)+(②相談時家計表!$E$27*12)))</f>
        <v>70</v>
      </c>
      <c r="P59" s="31">
        <f>IF(C59="",0,IF(AND(MOD(C59-①基本情報!$E$4,7)=0,C59&gt;①基本情報!$E$4,C59&lt;90),③ライフイベント表!$E$18/5,0)+IF(C59=①基本情報!$E$5+1,③ライフイベント表!$E$19,0)+IF(AND(①基本情報!$E$7&gt;0,C59=①基本情報!$E$4+(25-①基本情報!$E$8),①基本情報!$E$8&lt;25),③ライフイベント表!$E$20,0)+IF(AND(C59&gt;=①基本情報!$E$5,C59&lt;①基本情報!$E$5+10),③ライフイベント表!$E$21/10,0)+IF(C59=95,③ライフイベント表!$E$23,0))</f>
        <v>0</v>
      </c>
      <c r="Q59" s="33">
        <f t="shared" si="6"/>
        <v>260.2</v>
      </c>
      <c r="R59" s="34">
        <f t="shared" si="7"/>
        <v>-40.199999999999989</v>
      </c>
      <c r="S59" s="35">
        <f>IFERROR((S58+R59)*(1+IF(①基本情報!$E$10="",0,①基本情報!$E$10)),0)</f>
        <v>597.45930421103583</v>
      </c>
    </row>
    <row r="60" spans="1:19" ht="18" customHeight="1">
      <c r="A60" s="4">
        <v>52</v>
      </c>
      <c r="B60" s="4">
        <f t="shared" si="4"/>
        <v>2078</v>
      </c>
      <c r="C60" s="4">
        <f>IF(①基本情報!$E$4="","",①基本情報!$E$4+A60)</f>
        <v>92</v>
      </c>
      <c r="D60" s="4">
        <f>IF(①基本情報!$E$4="","",IF(AND(②相談時家計表!$E$6=0,③ライフイベント表!$E$14&lt;=50,①基本情報!$E$6=0),"",C60+①基本情報!$E$6))</f>
        <v>89</v>
      </c>
      <c r="E60" s="25">
        <f>IF(OR(C60="",①基本情報!$E$5=""),0,IF(C60&lt;①基本情報!$E$5,(②相談時家計表!$E$5*12),IF(AND(C60&gt;=①基本情報!$E$5,C60&lt;③ライフイベント表!$E$12,③ライフイベント表!$E$12&gt;0),③ライフイベント表!$E$11,0)))</f>
        <v>0</v>
      </c>
      <c r="F60" s="25">
        <f>IF(OR(C60="",①基本情報!$E$5=""),0,IF(C60&lt;①基本情報!$E$5,(②相談時家計表!$E$6*12),0))</f>
        <v>0</v>
      </c>
      <c r="G60" s="25">
        <f>IF(OR(C60="",③ライフイベント表!$E$15=""),0,IF(C60&gt;=③ライフイベント表!$E$15,③ライフイベント表!$E$13,0))</f>
        <v>150</v>
      </c>
      <c r="H60" s="25">
        <f>IF(OR(D60="",D60=""),0,IF(AND(ISNUMBER(D60),D60&gt;=③ライフイベント表!$E$15),③ライフイベント表!$E$14,0))</f>
        <v>70</v>
      </c>
      <c r="I60" s="25">
        <f>IF(C60="",0,IF(C60=①基本情報!$E$5,③ライフイベント表!$E$9,0)+IF(C60=①基本情報!$E$5+5,③ライフイベント表!$E$10,0))</f>
        <v>0</v>
      </c>
      <c r="J60" s="26">
        <f t="shared" si="5"/>
        <v>220</v>
      </c>
      <c r="K60" s="25">
        <f>IF(C60="",0,IF(C60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60" s="25">
        <f>IF(C60="",0,IF((②相談時家計表!$E$15*12)=0,0,IF(C60&lt;①基本情報!$E$5,(②相談時家計表!$E$15*12),36)))</f>
        <v>36</v>
      </c>
      <c r="M60" s="25">
        <f>IF(C60="",0,IF(C60&lt;①基本情報!$E$5,(②相談時家計表!$E$20*12),(②相談時家計表!$E$20*12)*0.5))</f>
        <v>3</v>
      </c>
      <c r="N60" s="25">
        <f>IF(OR(C60="",①基本情報!$E$7=0,①基本情報!$E$8=99),0,IF((①基本情報!$E$8+A60)&lt;=③ライフイベント表!$E$6,③ライフイベント表!$E$5*①基本情報!$E$7,0))</f>
        <v>0</v>
      </c>
      <c r="O60" s="25">
        <f>IF(C60="",0,IF(C60&gt;=70,③ライフイベント表!$E$22,(②相談時家計表!$E$21*12)+(②相談時家計表!$E$27*12)))</f>
        <v>70</v>
      </c>
      <c r="P60" s="25">
        <f>IF(C60="",0,IF(AND(MOD(C60-①基本情報!$E$4,7)=0,C60&gt;①基本情報!$E$4,C60&lt;90),③ライフイベント表!$E$18/5,0)+IF(C60=①基本情報!$E$5+1,③ライフイベント表!$E$19,0)+IF(AND(①基本情報!$E$7&gt;0,C60=①基本情報!$E$4+(25-①基本情報!$E$8),①基本情報!$E$8&lt;25),③ライフイベント表!$E$20,0)+IF(AND(C60&gt;=①基本情報!$E$5,C60&lt;①基本情報!$E$5+10),③ライフイベント表!$E$21/10,0)+IF(C60=95,③ライフイベント表!$E$23,0))</f>
        <v>0</v>
      </c>
      <c r="Q60" s="27">
        <f t="shared" si="6"/>
        <v>260.2</v>
      </c>
      <c r="R60" s="28">
        <f t="shared" si="7"/>
        <v>-40.199999999999989</v>
      </c>
      <c r="S60" s="29">
        <f>IFERROR((S59+R60)*(1+IF(①基本情報!$E$10="",0,①基本情報!$E$10)),0)</f>
        <v>560.04560073209097</v>
      </c>
    </row>
    <row r="61" spans="1:19" ht="18" customHeight="1">
      <c r="A61" s="30">
        <v>53</v>
      </c>
      <c r="B61" s="30">
        <f t="shared" si="4"/>
        <v>2079</v>
      </c>
      <c r="C61" s="30">
        <f>IF(①基本情報!$E$4="","",①基本情報!$E$4+A61)</f>
        <v>93</v>
      </c>
      <c r="D61" s="30">
        <f>IF(①基本情報!$E$4="","",IF(AND(②相談時家計表!$E$6=0,③ライフイベント表!$E$14&lt;=50,①基本情報!$E$6=0),"",C61+①基本情報!$E$6))</f>
        <v>90</v>
      </c>
      <c r="E61" s="31">
        <f>IF(OR(C61="",①基本情報!$E$5=""),0,IF(C61&lt;①基本情報!$E$5,(②相談時家計表!$E$5*12),IF(AND(C61&gt;=①基本情報!$E$5,C61&lt;③ライフイベント表!$E$12,③ライフイベント表!$E$12&gt;0),③ライフイベント表!$E$11,0)))</f>
        <v>0</v>
      </c>
      <c r="F61" s="31">
        <f>IF(OR(C61="",①基本情報!$E$5=""),0,IF(C61&lt;①基本情報!$E$5,(②相談時家計表!$E$6*12),0))</f>
        <v>0</v>
      </c>
      <c r="G61" s="31">
        <f>IF(OR(C61="",③ライフイベント表!$E$15=""),0,IF(C61&gt;=③ライフイベント表!$E$15,③ライフイベント表!$E$13,0))</f>
        <v>150</v>
      </c>
      <c r="H61" s="31">
        <f>IF(OR(D61="",D61=""),0,IF(AND(ISNUMBER(D61),D61&gt;=③ライフイベント表!$E$15),③ライフイベント表!$E$14,0))</f>
        <v>70</v>
      </c>
      <c r="I61" s="31">
        <f>IF(C61="",0,IF(C61=①基本情報!$E$5,③ライフイベント表!$E$9,0)+IF(C61=①基本情報!$E$5+5,③ライフイベント表!$E$10,0))</f>
        <v>0</v>
      </c>
      <c r="J61" s="32">
        <f t="shared" si="5"/>
        <v>220</v>
      </c>
      <c r="K61" s="31">
        <f>IF(C61="",0,IF(C61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61" s="31">
        <f>IF(C61="",0,IF((②相談時家計表!$E$15*12)=0,0,IF(C61&lt;①基本情報!$E$5,(②相談時家計表!$E$15*12),36)))</f>
        <v>36</v>
      </c>
      <c r="M61" s="31">
        <f>IF(C61="",0,IF(C61&lt;①基本情報!$E$5,(②相談時家計表!$E$20*12),(②相談時家計表!$E$20*12)*0.5))</f>
        <v>3</v>
      </c>
      <c r="N61" s="31">
        <f>IF(OR(C61="",①基本情報!$E$7=0,①基本情報!$E$8=99),0,IF((①基本情報!$E$8+A61)&lt;=③ライフイベント表!$E$6,③ライフイベント表!$E$5*①基本情報!$E$7,0))</f>
        <v>0</v>
      </c>
      <c r="O61" s="31">
        <f>IF(C61="",0,IF(C61&gt;=70,③ライフイベント表!$E$22,(②相談時家計表!$E$21*12)+(②相談時家計表!$E$27*12)))</f>
        <v>70</v>
      </c>
      <c r="P61" s="31">
        <f>IF(C61="",0,IF(AND(MOD(C61-①基本情報!$E$4,7)=0,C61&gt;①基本情報!$E$4,C61&lt;90),③ライフイベント表!$E$18/5,0)+IF(C61=①基本情報!$E$5+1,③ライフイベント表!$E$19,0)+IF(AND(①基本情報!$E$7&gt;0,C61=①基本情報!$E$4+(25-①基本情報!$E$8),①基本情報!$E$8&lt;25),③ライフイベント表!$E$20,0)+IF(AND(C61&gt;=①基本情報!$E$5,C61&lt;①基本情報!$E$5+10),③ライフイベント表!$E$21/10,0)+IF(C61=95,③ライフイベント表!$E$23,0))</f>
        <v>0</v>
      </c>
      <c r="Q61" s="33">
        <f t="shared" si="6"/>
        <v>260.2</v>
      </c>
      <c r="R61" s="34">
        <f t="shared" si="7"/>
        <v>-40.199999999999989</v>
      </c>
      <c r="S61" s="35">
        <f>IFERROR((S60+R61)*(1+IF(①基本情報!$E$10="",0,①基本情報!$E$10)),0)</f>
        <v>522.44482873575146</v>
      </c>
    </row>
    <row r="62" spans="1:19" ht="18" customHeight="1">
      <c r="A62" s="4">
        <v>54</v>
      </c>
      <c r="B62" s="4">
        <f t="shared" si="4"/>
        <v>2080</v>
      </c>
      <c r="C62" s="4">
        <f>IF(①基本情報!$E$4="","",①基本情報!$E$4+A62)</f>
        <v>94</v>
      </c>
      <c r="D62" s="4">
        <f>IF(①基本情報!$E$4="","",IF(AND(②相談時家計表!$E$6=0,③ライフイベント表!$E$14&lt;=50,①基本情報!$E$6=0),"",C62+①基本情報!$E$6))</f>
        <v>91</v>
      </c>
      <c r="E62" s="25">
        <f>IF(OR(C62="",①基本情報!$E$5=""),0,IF(C62&lt;①基本情報!$E$5,(②相談時家計表!$E$5*12),IF(AND(C62&gt;=①基本情報!$E$5,C62&lt;③ライフイベント表!$E$12,③ライフイベント表!$E$12&gt;0),③ライフイベント表!$E$11,0)))</f>
        <v>0</v>
      </c>
      <c r="F62" s="25">
        <f>IF(OR(C62="",①基本情報!$E$5=""),0,IF(C62&lt;①基本情報!$E$5,(②相談時家計表!$E$6*12),0))</f>
        <v>0</v>
      </c>
      <c r="G62" s="25">
        <f>IF(OR(C62="",③ライフイベント表!$E$15=""),0,IF(C62&gt;=③ライフイベント表!$E$15,③ライフイベント表!$E$13,0))</f>
        <v>150</v>
      </c>
      <c r="H62" s="25">
        <f>IF(OR(D62="",D62=""),0,IF(AND(ISNUMBER(D62),D62&gt;=③ライフイベント表!$E$15),③ライフイベント表!$E$14,0))</f>
        <v>70</v>
      </c>
      <c r="I62" s="25">
        <f>IF(C62="",0,IF(C62=①基本情報!$E$5,③ライフイベント表!$E$9,0)+IF(C62=①基本情報!$E$5+5,③ライフイベント表!$E$10,0))</f>
        <v>0</v>
      </c>
      <c r="J62" s="26">
        <f t="shared" si="5"/>
        <v>220</v>
      </c>
      <c r="K62" s="25">
        <f>IF(C62="",0,IF(C62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62" s="25">
        <f>IF(C62="",0,IF((②相談時家計表!$E$15*12)=0,0,IF(C62&lt;①基本情報!$E$5,(②相談時家計表!$E$15*12),36)))</f>
        <v>36</v>
      </c>
      <c r="M62" s="25">
        <f>IF(C62="",0,IF(C62&lt;①基本情報!$E$5,(②相談時家計表!$E$20*12),(②相談時家計表!$E$20*12)*0.5))</f>
        <v>3</v>
      </c>
      <c r="N62" s="25">
        <f>IF(OR(C62="",①基本情報!$E$7=0,①基本情報!$E$8=99),0,IF((①基本情報!$E$8+A62)&lt;=③ライフイベント表!$E$6,③ライフイベント表!$E$5*①基本情報!$E$7,0))</f>
        <v>0</v>
      </c>
      <c r="O62" s="25">
        <f>IF(C62="",0,IF(C62&gt;=70,③ライフイベント表!$E$22,(②相談時家計表!$E$21*12)+(②相談時家計表!$E$27*12)))</f>
        <v>70</v>
      </c>
      <c r="P62" s="25">
        <f>IF(C62="",0,IF(AND(MOD(C62-①基本情報!$E$4,7)=0,C62&gt;①基本情報!$E$4,C62&lt;90),③ライフイベント表!$E$18/5,0)+IF(C62=①基本情報!$E$5+1,③ライフイベント表!$E$19,0)+IF(AND(①基本情報!$E$7&gt;0,C62=①基本情報!$E$4+(25-①基本情報!$E$8),①基本情報!$E$8&lt;25),③ライフイベント表!$E$20,0)+IF(AND(C62&gt;=①基本情報!$E$5,C62&lt;①基本情報!$E$5+10),③ライフイベント表!$E$21/10,0)+IF(C62=95,③ライフイベント表!$E$23,0))</f>
        <v>0</v>
      </c>
      <c r="Q62" s="27">
        <f t="shared" si="6"/>
        <v>260.2</v>
      </c>
      <c r="R62" s="28">
        <f t="shared" si="7"/>
        <v>-40.199999999999989</v>
      </c>
      <c r="S62" s="29">
        <f>IFERROR((S61+R62)*(1+IF(①基本情報!$E$10="",0,①基本情報!$E$10)),0)</f>
        <v>484.65605287943015</v>
      </c>
    </row>
    <row r="63" spans="1:19" ht="18" customHeight="1">
      <c r="A63" s="30">
        <v>55</v>
      </c>
      <c r="B63" s="30">
        <f t="shared" si="4"/>
        <v>2081</v>
      </c>
      <c r="C63" s="30">
        <f>IF(①基本情報!$E$4="","",①基本情報!$E$4+A63)</f>
        <v>95</v>
      </c>
      <c r="D63" s="30">
        <f>IF(①基本情報!$E$4="","",IF(AND(②相談時家計表!$E$6=0,③ライフイベント表!$E$14&lt;=50,①基本情報!$E$6=0),"",C63+①基本情報!$E$6))</f>
        <v>92</v>
      </c>
      <c r="E63" s="31">
        <f>IF(OR(C63="",①基本情報!$E$5=""),0,IF(C63&lt;①基本情報!$E$5,(②相談時家計表!$E$5*12),IF(AND(C63&gt;=①基本情報!$E$5,C63&lt;③ライフイベント表!$E$12,③ライフイベント表!$E$12&gt;0),③ライフイベント表!$E$11,0)))</f>
        <v>0</v>
      </c>
      <c r="F63" s="31">
        <f>IF(OR(C63="",①基本情報!$E$5=""),0,IF(C63&lt;①基本情報!$E$5,(②相談時家計表!$E$6*12),0))</f>
        <v>0</v>
      </c>
      <c r="G63" s="31">
        <f>IF(OR(C63="",③ライフイベント表!$E$15=""),0,IF(C63&gt;=③ライフイベント表!$E$15,③ライフイベント表!$E$13,0))</f>
        <v>150</v>
      </c>
      <c r="H63" s="31">
        <f>IF(OR(D63="",D63=""),0,IF(AND(ISNUMBER(D63),D63&gt;=③ライフイベント表!$E$15),③ライフイベント表!$E$14,0))</f>
        <v>70</v>
      </c>
      <c r="I63" s="31">
        <f>IF(C63="",0,IF(C63=①基本情報!$E$5,③ライフイベント表!$E$9,0)+IF(C63=①基本情報!$E$5+5,③ライフイベント表!$E$10,0))</f>
        <v>0</v>
      </c>
      <c r="J63" s="32">
        <f t="shared" si="5"/>
        <v>220</v>
      </c>
      <c r="K63" s="31">
        <f>IF(C63="",0,IF(C63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63" s="31">
        <f>IF(C63="",0,IF((②相談時家計表!$E$15*12)=0,0,IF(C63&lt;①基本情報!$E$5,(②相談時家計表!$E$15*12),36)))</f>
        <v>36</v>
      </c>
      <c r="M63" s="31">
        <f>IF(C63="",0,IF(C63&lt;①基本情報!$E$5,(②相談時家計表!$E$20*12),(②相談時家計表!$E$20*12)*0.5))</f>
        <v>3</v>
      </c>
      <c r="N63" s="31">
        <f>IF(OR(C63="",①基本情報!$E$7=0,①基本情報!$E$8=99),0,IF((①基本情報!$E$8+A63)&lt;=③ライフイベント表!$E$6,③ライフイベント表!$E$5*①基本情報!$E$7,0))</f>
        <v>0</v>
      </c>
      <c r="O63" s="31">
        <f>IF(C63="",0,IF(C63&gt;=70,③ライフイベント表!$E$22,(②相談時家計表!$E$21*12)+(②相談時家計表!$E$27*12)))</f>
        <v>70</v>
      </c>
      <c r="P63" s="31">
        <f>IF(C63="",0,IF(AND(MOD(C63-①基本情報!$E$4,7)=0,C63&gt;①基本情報!$E$4,C63&lt;90),③ライフイベント表!$E$18/5,0)+IF(C63=①基本情報!$E$5+1,③ライフイベント表!$E$19,0)+IF(AND(①基本情報!$E$7&gt;0,C63=①基本情報!$E$4+(25-①基本情報!$E$8),①基本情報!$E$8&lt;25),③ライフイベント表!$E$20,0)+IF(AND(C63&gt;=①基本情報!$E$5,C63&lt;①基本情報!$E$5+10),③ライフイベント表!$E$21/10,0)+IF(C63=95,③ライフイベント表!$E$23,0))</f>
        <v>100</v>
      </c>
      <c r="Q63" s="33">
        <f t="shared" si="6"/>
        <v>360.2</v>
      </c>
      <c r="R63" s="34">
        <f t="shared" si="7"/>
        <v>-140.19999999999999</v>
      </c>
      <c r="S63" s="35">
        <f>IFERROR((S62+R63)*(1+IF(①基本情報!$E$10="",0,①基本情報!$E$10)),0)</f>
        <v>346.17833314382727</v>
      </c>
    </row>
    <row r="64" spans="1:19" ht="18" customHeight="1">
      <c r="A64" s="4">
        <v>56</v>
      </c>
      <c r="B64" s="4">
        <f t="shared" si="4"/>
        <v>2082</v>
      </c>
      <c r="C64" s="4">
        <f>IF(①基本情報!$E$4="","",①基本情報!$E$4+A64)</f>
        <v>96</v>
      </c>
      <c r="D64" s="4">
        <f>IF(①基本情報!$E$4="","",IF(AND(②相談時家計表!$E$6=0,③ライフイベント表!$E$14&lt;=50,①基本情報!$E$6=0),"",C64+①基本情報!$E$6))</f>
        <v>93</v>
      </c>
      <c r="E64" s="25">
        <f>IF(OR(C64="",①基本情報!$E$5=""),0,IF(C64&lt;①基本情報!$E$5,(②相談時家計表!$E$5*12),IF(AND(C64&gt;=①基本情報!$E$5,C64&lt;③ライフイベント表!$E$12,③ライフイベント表!$E$12&gt;0),③ライフイベント表!$E$11,0)))</f>
        <v>0</v>
      </c>
      <c r="F64" s="25">
        <f>IF(OR(C64="",①基本情報!$E$5=""),0,IF(C64&lt;①基本情報!$E$5,(②相談時家計表!$E$6*12),0))</f>
        <v>0</v>
      </c>
      <c r="G64" s="25">
        <f>IF(OR(C64="",③ライフイベント表!$E$15=""),0,IF(C64&gt;=③ライフイベント表!$E$15,③ライフイベント表!$E$13,0))</f>
        <v>150</v>
      </c>
      <c r="H64" s="25">
        <f>IF(OR(D64="",D64=""),0,IF(AND(ISNUMBER(D64),D64&gt;=③ライフイベント表!$E$15),③ライフイベント表!$E$14,0))</f>
        <v>70</v>
      </c>
      <c r="I64" s="25">
        <f>IF(C64="",0,IF(C64=①基本情報!$E$5,③ライフイベント表!$E$9,0)+IF(C64=①基本情報!$E$5+5,③ライフイベント表!$E$10,0))</f>
        <v>0</v>
      </c>
      <c r="J64" s="26">
        <f t="shared" si="5"/>
        <v>220</v>
      </c>
      <c r="K64" s="25">
        <f>IF(C64="",0,IF(C64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64" s="25">
        <f>IF(C64="",0,IF((②相談時家計表!$E$15*12)=0,0,IF(C64&lt;①基本情報!$E$5,(②相談時家計表!$E$15*12),36)))</f>
        <v>36</v>
      </c>
      <c r="M64" s="25">
        <f>IF(C64="",0,IF(C64&lt;①基本情報!$E$5,(②相談時家計表!$E$20*12),(②相談時家計表!$E$20*12)*0.5))</f>
        <v>3</v>
      </c>
      <c r="N64" s="25">
        <f>IF(OR(C64="",①基本情報!$E$7=0,①基本情報!$E$8=99),0,IF((①基本情報!$E$8+A64)&lt;=③ライフイベント表!$E$6,③ライフイベント表!$E$5*①基本情報!$E$7,0))</f>
        <v>0</v>
      </c>
      <c r="O64" s="25">
        <f>IF(C64="",0,IF(C64&gt;=70,③ライフイベント表!$E$22,(②相談時家計表!$E$21*12)+(②相談時家計表!$E$27*12)))</f>
        <v>70</v>
      </c>
      <c r="P64" s="25">
        <f>IF(C64="",0,IF(AND(MOD(C64-①基本情報!$E$4,7)=0,C64&gt;①基本情報!$E$4,C64&lt;90),③ライフイベント表!$E$18/5,0)+IF(C64=①基本情報!$E$5+1,③ライフイベント表!$E$19,0)+IF(AND(①基本情報!$E$7&gt;0,C64=①基本情報!$E$4+(25-①基本情報!$E$8),①基本情報!$E$8&lt;25),③ライフイベント表!$E$20,0)+IF(AND(C64&gt;=①基本情報!$E$5,C64&lt;①基本情報!$E$5+10),③ライフイベント表!$E$21/10,0)+IF(C64=95,③ライフイベント表!$E$23,0))</f>
        <v>0</v>
      </c>
      <c r="Q64" s="27">
        <f t="shared" si="6"/>
        <v>260.2</v>
      </c>
      <c r="R64" s="28">
        <f t="shared" si="7"/>
        <v>-40.199999999999989</v>
      </c>
      <c r="S64" s="29">
        <f>IFERROR((S63+R64)*(1+IF(①基本情報!$E$10="",0,①基本情報!$E$10)),0)</f>
        <v>307.50822480954639</v>
      </c>
    </row>
    <row r="65" spans="1:19" ht="18" customHeight="1">
      <c r="A65" s="30">
        <v>57</v>
      </c>
      <c r="B65" s="30">
        <f t="shared" si="4"/>
        <v>2083</v>
      </c>
      <c r="C65" s="30">
        <f>IF(①基本情報!$E$4="","",①基本情報!$E$4+A65)</f>
        <v>97</v>
      </c>
      <c r="D65" s="30">
        <f>IF(①基本情報!$E$4="","",IF(AND(②相談時家計表!$E$6=0,③ライフイベント表!$E$14&lt;=50,①基本情報!$E$6=0),"",C65+①基本情報!$E$6))</f>
        <v>94</v>
      </c>
      <c r="E65" s="31">
        <f>IF(OR(C65="",①基本情報!$E$5=""),0,IF(C65&lt;①基本情報!$E$5,(②相談時家計表!$E$5*12),IF(AND(C65&gt;=①基本情報!$E$5,C65&lt;③ライフイベント表!$E$12,③ライフイベント表!$E$12&gt;0),③ライフイベント表!$E$11,0)))</f>
        <v>0</v>
      </c>
      <c r="F65" s="31">
        <f>IF(OR(C65="",①基本情報!$E$5=""),0,IF(C65&lt;①基本情報!$E$5,(②相談時家計表!$E$6*12),0))</f>
        <v>0</v>
      </c>
      <c r="G65" s="31">
        <f>IF(OR(C65="",③ライフイベント表!$E$15=""),0,IF(C65&gt;=③ライフイベント表!$E$15,③ライフイベント表!$E$13,0))</f>
        <v>150</v>
      </c>
      <c r="H65" s="31">
        <f>IF(OR(D65="",D65=""),0,IF(AND(ISNUMBER(D65),D65&gt;=③ライフイベント表!$E$15),③ライフイベント表!$E$14,0))</f>
        <v>70</v>
      </c>
      <c r="I65" s="31">
        <f>IF(C65="",0,IF(C65=①基本情報!$E$5,③ライフイベント表!$E$9,0)+IF(C65=①基本情報!$E$5+5,③ライフイベント表!$E$10,0))</f>
        <v>0</v>
      </c>
      <c r="J65" s="32">
        <f t="shared" si="5"/>
        <v>220</v>
      </c>
      <c r="K65" s="31">
        <f>IF(C65="",0,IF(C65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65" s="31">
        <f>IF(C65="",0,IF((②相談時家計表!$E$15*12)=0,0,IF(C65&lt;①基本情報!$E$5,(②相談時家計表!$E$15*12),36)))</f>
        <v>36</v>
      </c>
      <c r="M65" s="31">
        <f>IF(C65="",0,IF(C65&lt;①基本情報!$E$5,(②相談時家計表!$E$20*12),(②相談時家計表!$E$20*12)*0.5))</f>
        <v>3</v>
      </c>
      <c r="N65" s="31">
        <f>IF(OR(C65="",①基本情報!$E$7=0,①基本情報!$E$8=99),0,IF((①基本情報!$E$8+A65)&lt;=③ライフイベント表!$E$6,③ライフイベント表!$E$5*①基本情報!$E$7,0))</f>
        <v>0</v>
      </c>
      <c r="O65" s="31">
        <f>IF(C65="",0,IF(C65&gt;=70,③ライフイベント表!$E$22,(②相談時家計表!$E$21*12)+(②相談時家計表!$E$27*12)))</f>
        <v>70</v>
      </c>
      <c r="P65" s="31">
        <f>IF(C65="",0,IF(AND(MOD(C65-①基本情報!$E$4,7)=0,C65&gt;①基本情報!$E$4,C65&lt;90),③ライフイベント表!$E$18/5,0)+IF(C65=①基本情報!$E$5+1,③ライフイベント表!$E$19,0)+IF(AND(①基本情報!$E$7&gt;0,C65=①基本情報!$E$4+(25-①基本情報!$E$8),①基本情報!$E$8&lt;25),③ライフイベント表!$E$20,0)+IF(AND(C65&gt;=①基本情報!$E$5,C65&lt;①基本情報!$E$5+10),③ライフイベント表!$E$21/10,0)+IF(C65=95,③ライフイベント表!$E$23,0))</f>
        <v>0</v>
      </c>
      <c r="Q65" s="33">
        <f t="shared" si="6"/>
        <v>260.2</v>
      </c>
      <c r="R65" s="34">
        <f t="shared" si="7"/>
        <v>-40.199999999999989</v>
      </c>
      <c r="S65" s="35">
        <f>IFERROR((S64+R65)*(1+IF(①基本情報!$E$10="",0,①基本情報!$E$10)),0)</f>
        <v>268.6447659335941</v>
      </c>
    </row>
    <row r="66" spans="1:19" ht="18" customHeight="1">
      <c r="A66" s="4">
        <v>58</v>
      </c>
      <c r="B66" s="4">
        <f t="shared" si="4"/>
        <v>2084</v>
      </c>
      <c r="C66" s="4">
        <f>IF(①基本情報!$E$4="","",①基本情報!$E$4+A66)</f>
        <v>98</v>
      </c>
      <c r="D66" s="4">
        <f>IF(①基本情報!$E$4="","",IF(AND(②相談時家計表!$E$6=0,③ライフイベント表!$E$14&lt;=50,①基本情報!$E$6=0),"",C66+①基本情報!$E$6))</f>
        <v>95</v>
      </c>
      <c r="E66" s="25">
        <f>IF(OR(C66="",①基本情報!$E$5=""),0,IF(C66&lt;①基本情報!$E$5,(②相談時家計表!$E$5*12),IF(AND(C66&gt;=①基本情報!$E$5,C66&lt;③ライフイベント表!$E$12,③ライフイベント表!$E$12&gt;0),③ライフイベント表!$E$11,0)))</f>
        <v>0</v>
      </c>
      <c r="F66" s="25">
        <f>IF(OR(C66="",①基本情報!$E$5=""),0,IF(C66&lt;①基本情報!$E$5,(②相談時家計表!$E$6*12),0))</f>
        <v>0</v>
      </c>
      <c r="G66" s="25">
        <f>IF(OR(C66="",③ライフイベント表!$E$15=""),0,IF(C66&gt;=③ライフイベント表!$E$15,③ライフイベント表!$E$13,0))</f>
        <v>150</v>
      </c>
      <c r="H66" s="25">
        <f>IF(OR(D66="",D66=""),0,IF(AND(ISNUMBER(D66),D66&gt;=③ライフイベント表!$E$15),③ライフイベント表!$E$14,0))</f>
        <v>70</v>
      </c>
      <c r="I66" s="25">
        <f>IF(C66="",0,IF(C66=①基本情報!$E$5,③ライフイベント表!$E$9,0)+IF(C66=①基本情報!$E$5+5,③ライフイベント表!$E$10,0))</f>
        <v>0</v>
      </c>
      <c r="J66" s="26">
        <f t="shared" si="5"/>
        <v>220</v>
      </c>
      <c r="K66" s="25">
        <f>IF(C66="",0,IF(C66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66" s="25">
        <f>IF(C66="",0,IF((②相談時家計表!$E$15*12)=0,0,IF(C66&lt;①基本情報!$E$5,(②相談時家計表!$E$15*12),36)))</f>
        <v>36</v>
      </c>
      <c r="M66" s="25">
        <f>IF(C66="",0,IF(C66&lt;①基本情報!$E$5,(②相談時家計表!$E$20*12),(②相談時家計表!$E$20*12)*0.5))</f>
        <v>3</v>
      </c>
      <c r="N66" s="25">
        <f>IF(OR(C66="",①基本情報!$E$7=0,①基本情報!$E$8=99),0,IF((①基本情報!$E$8+A66)&lt;=③ライフイベント表!$E$6,③ライフイベント表!$E$5*①基本情報!$E$7,0))</f>
        <v>0</v>
      </c>
      <c r="O66" s="25">
        <f>IF(C66="",0,IF(C66&gt;=70,③ライフイベント表!$E$22,(②相談時家計表!$E$21*12)+(②相談時家計表!$E$27*12)))</f>
        <v>70</v>
      </c>
      <c r="P66" s="25">
        <f>IF(C66="",0,IF(AND(MOD(C66-①基本情報!$E$4,7)=0,C66&gt;①基本情報!$E$4,C66&lt;90),③ライフイベント表!$E$18/5,0)+IF(C66=①基本情報!$E$5+1,③ライフイベント表!$E$19,0)+IF(AND(①基本情報!$E$7&gt;0,C66=①基本情報!$E$4+(25-①基本情報!$E$8),①基本情報!$E$8&lt;25),③ライフイベント表!$E$20,0)+IF(AND(C66&gt;=①基本情報!$E$5,C66&lt;①基本情報!$E$5+10),③ライフイベント表!$E$21/10,0)+IF(C66=95,③ライフイベント表!$E$23,0))</f>
        <v>0</v>
      </c>
      <c r="Q66" s="27">
        <f t="shared" si="6"/>
        <v>260.2</v>
      </c>
      <c r="R66" s="28">
        <f t="shared" si="7"/>
        <v>-40.199999999999989</v>
      </c>
      <c r="S66" s="29">
        <f>IFERROR((S65+R66)*(1+IF(①基本情報!$E$10="",0,①基本情報!$E$10)),0)</f>
        <v>229.58698976326207</v>
      </c>
    </row>
    <row r="67" spans="1:19" ht="18" customHeight="1">
      <c r="A67" s="30">
        <v>59</v>
      </c>
      <c r="B67" s="30">
        <f t="shared" si="4"/>
        <v>2085</v>
      </c>
      <c r="C67" s="30">
        <f>IF(①基本情報!$E$4="","",①基本情報!$E$4+A67)</f>
        <v>99</v>
      </c>
      <c r="D67" s="30">
        <f>IF(①基本情報!$E$4="","",IF(AND(②相談時家計表!$E$6=0,③ライフイベント表!$E$14&lt;=50,①基本情報!$E$6=0),"",C67+①基本情報!$E$6))</f>
        <v>96</v>
      </c>
      <c r="E67" s="31">
        <f>IF(OR(C67="",①基本情報!$E$5=""),0,IF(C67&lt;①基本情報!$E$5,(②相談時家計表!$E$5*12),IF(AND(C67&gt;=①基本情報!$E$5,C67&lt;③ライフイベント表!$E$12,③ライフイベント表!$E$12&gt;0),③ライフイベント表!$E$11,0)))</f>
        <v>0</v>
      </c>
      <c r="F67" s="31">
        <f>IF(OR(C67="",①基本情報!$E$5=""),0,IF(C67&lt;①基本情報!$E$5,(②相談時家計表!$E$6*12),0))</f>
        <v>0</v>
      </c>
      <c r="G67" s="31">
        <f>IF(OR(C67="",③ライフイベント表!$E$15=""),0,IF(C67&gt;=③ライフイベント表!$E$15,③ライフイベント表!$E$13,0))</f>
        <v>150</v>
      </c>
      <c r="H67" s="31">
        <f>IF(OR(D67="",D67=""),0,IF(AND(ISNUMBER(D67),D67&gt;=③ライフイベント表!$E$15),③ライフイベント表!$E$14,0))</f>
        <v>70</v>
      </c>
      <c r="I67" s="31">
        <f>IF(C67="",0,IF(C67=①基本情報!$E$5,③ライフイベント表!$E$9,0)+IF(C67=①基本情報!$E$5+5,③ライフイベント表!$E$10,0))</f>
        <v>0</v>
      </c>
      <c r="J67" s="32">
        <f t="shared" si="5"/>
        <v>220</v>
      </c>
      <c r="K67" s="31">
        <f>IF(C67="",0,IF(C67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67" s="31">
        <f>IF(C67="",0,IF((②相談時家計表!$E$15*12)=0,0,IF(C67&lt;①基本情報!$E$5,(②相談時家計表!$E$15*12),36)))</f>
        <v>36</v>
      </c>
      <c r="M67" s="31">
        <f>IF(C67="",0,IF(C67&lt;①基本情報!$E$5,(②相談時家計表!$E$20*12),(②相談時家計表!$E$20*12)*0.5))</f>
        <v>3</v>
      </c>
      <c r="N67" s="31">
        <f>IF(OR(C67="",①基本情報!$E$7=0,①基本情報!$E$8=99),0,IF((①基本情報!$E$8+A67)&lt;=③ライフイベント表!$E$6,③ライフイベント表!$E$5*①基本情報!$E$7,0))</f>
        <v>0</v>
      </c>
      <c r="O67" s="31">
        <f>IF(C67="",0,IF(C67&gt;=70,③ライフイベント表!$E$22,(②相談時家計表!$E$21*12)+(②相談時家計表!$E$27*12)))</f>
        <v>70</v>
      </c>
      <c r="P67" s="31">
        <f>IF(C67="",0,IF(AND(MOD(C67-①基本情報!$E$4,7)=0,C67&gt;①基本情報!$E$4,C67&lt;90),③ライフイベント表!$E$18/5,0)+IF(C67=①基本情報!$E$5+1,③ライフイベント表!$E$19,0)+IF(AND(①基本情報!$E$7&gt;0,C67=①基本情報!$E$4+(25-①基本情報!$E$8),①基本情報!$E$8&lt;25),③ライフイベント表!$E$20,0)+IF(AND(C67&gt;=①基本情報!$E$5,C67&lt;①基本情報!$E$5+10),③ライフイベント表!$E$21/10,0)+IF(C67=95,③ライフイベント表!$E$23,0))</f>
        <v>0</v>
      </c>
      <c r="Q67" s="33">
        <f t="shared" si="6"/>
        <v>260.2</v>
      </c>
      <c r="R67" s="34">
        <f t="shared" si="7"/>
        <v>-40.199999999999989</v>
      </c>
      <c r="S67" s="35">
        <f>IFERROR((S66+R67)*(1+IF(①基本情報!$E$10="",0,①基本情報!$E$10)),0)</f>
        <v>190.33392471207836</v>
      </c>
    </row>
    <row r="68" spans="1:19" ht="18" customHeight="1">
      <c r="A68" s="4">
        <v>60</v>
      </c>
      <c r="B68" s="4">
        <f t="shared" si="4"/>
        <v>2086</v>
      </c>
      <c r="C68" s="4">
        <f>IF(①基本情報!$E$4="","",①基本情報!$E$4+A68)</f>
        <v>100</v>
      </c>
      <c r="D68" s="4">
        <f>IF(①基本情報!$E$4="","",IF(AND(②相談時家計表!$E$6=0,③ライフイベント表!$E$14&lt;=50,①基本情報!$E$6=0),"",C68+①基本情報!$E$6))</f>
        <v>97</v>
      </c>
      <c r="E68" s="25">
        <f>IF(OR(C68="",①基本情報!$E$5=""),0,IF(C68&lt;①基本情報!$E$5,(②相談時家計表!$E$5*12),IF(AND(C68&gt;=①基本情報!$E$5,C68&lt;③ライフイベント表!$E$12,③ライフイベント表!$E$12&gt;0),③ライフイベント表!$E$11,0)))</f>
        <v>0</v>
      </c>
      <c r="F68" s="25">
        <f>IF(OR(C68="",①基本情報!$E$5=""),0,IF(C68&lt;①基本情報!$E$5,(②相談時家計表!$E$6*12),0))</f>
        <v>0</v>
      </c>
      <c r="G68" s="25">
        <f>IF(OR(C68="",③ライフイベント表!$E$15=""),0,IF(C68&gt;=③ライフイベント表!$E$15,③ライフイベント表!$E$13,0))</f>
        <v>150</v>
      </c>
      <c r="H68" s="25">
        <f>IF(OR(D68="",D68=""),0,IF(AND(ISNUMBER(D68),D68&gt;=③ライフイベント表!$E$15),③ライフイベント表!$E$14,0))</f>
        <v>70</v>
      </c>
      <c r="I68" s="25">
        <f>IF(C68="",0,IF(C68=①基本情報!$E$5,③ライフイベント表!$E$9,0)+IF(C68=①基本情報!$E$5+5,③ライフイベント表!$E$10,0))</f>
        <v>0</v>
      </c>
      <c r="J68" s="26">
        <f t="shared" si="5"/>
        <v>220</v>
      </c>
      <c r="K68" s="25">
        <f>IF(C68="",0,IF(C68&lt;①基本情報!$E$5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,((②相談時家計表!$E$14+②相談時家計表!$E$16+②相談時家計表!$E$17+②相談時家計表!$E$18+②相談時家計表!$E$22+②相談時家計表!$E$23+②相談時家計表!$E$24+②相談時家計表!$E$25+②相談時家計表!$E$26+②相談時家計表!$E$28)*12)*0.7))</f>
        <v>151.19999999999999</v>
      </c>
      <c r="L68" s="25">
        <f>IF(C68="",0,IF((②相談時家計表!$E$15*12)=0,0,IF(C68&lt;①基本情報!$E$5,(②相談時家計表!$E$15*12),36)))</f>
        <v>36</v>
      </c>
      <c r="M68" s="25">
        <f>IF(C68="",0,IF(C68&lt;①基本情報!$E$5,(②相談時家計表!$E$20*12),(②相談時家計表!$E$20*12)*0.5))</f>
        <v>3</v>
      </c>
      <c r="N68" s="25">
        <f>IF(OR(C68="",①基本情報!$E$7=0,①基本情報!$E$8=99),0,IF((①基本情報!$E$8+A68)&lt;=③ライフイベント表!$E$6,③ライフイベント表!$E$5*①基本情報!$E$7,0))</f>
        <v>0</v>
      </c>
      <c r="O68" s="25">
        <f>IF(C68="",0,IF(C68&gt;=70,③ライフイベント表!$E$22,(②相談時家計表!$E$21*12)+(②相談時家計表!$E$27*12)))</f>
        <v>70</v>
      </c>
      <c r="P68" s="25">
        <f>IF(C68="",0,IF(AND(MOD(C68-①基本情報!$E$4,7)=0,C68&gt;①基本情報!$E$4,C68&lt;90),③ライフイベント表!$E$18/5,0)+IF(C68=①基本情報!$E$5+1,③ライフイベント表!$E$19,0)+IF(AND(①基本情報!$E$7&gt;0,C68=①基本情報!$E$4+(25-①基本情報!$E$8),①基本情報!$E$8&lt;25),③ライフイベント表!$E$20,0)+IF(AND(C68&gt;=①基本情報!$E$5,C68&lt;①基本情報!$E$5+10),③ライフイベント表!$E$21/10,0)+IF(C68=95,③ライフイベント表!$E$23,0))</f>
        <v>0</v>
      </c>
      <c r="Q68" s="27">
        <f t="shared" si="6"/>
        <v>260.2</v>
      </c>
      <c r="R68" s="28">
        <f t="shared" si="7"/>
        <v>-40.199999999999989</v>
      </c>
      <c r="S68" s="29">
        <f>IFERROR((S67+R68)*(1+IF(①基本情報!$E$10="",0,①基本情報!$E$10)),0)</f>
        <v>150.88459433563875</v>
      </c>
    </row>
  </sheetData>
  <mergeCells count="11">
    <mergeCell ref="B6:B7"/>
    <mergeCell ref="K6:Q6"/>
    <mergeCell ref="A1:S1"/>
    <mergeCell ref="A3:S3"/>
    <mergeCell ref="R6:R7"/>
    <mergeCell ref="C6:C7"/>
    <mergeCell ref="A6:A7"/>
    <mergeCell ref="D6:D7"/>
    <mergeCell ref="E6:J6"/>
    <mergeCell ref="A2:S2"/>
    <mergeCell ref="S6:S7"/>
  </mergeCells>
  <phoneticPr fontId="26"/>
  <conditionalFormatting sqref="S8:S68">
    <cfRule type="colorScale" priority="3">
      <colorScale>
        <cfvo type="num" val="0"/>
        <cfvo type="num" val="2000"/>
        <cfvo type="num" val="8000"/>
        <color rgb="FFF8696B"/>
        <color rgb="FFFFEB84"/>
        <color rgb="FF63BE7B"/>
      </colorScale>
    </cfRule>
  </conditionalFormatting>
  <pageMargins left="0.75" right="0.75" top="1" bottom="1" header="0.511811023622047" footer="0.511811023622047"/>
  <pageSetup paperSize="8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2"/>
  <sheetViews>
    <sheetView tabSelected="1" topLeftCell="A17" zoomScaleNormal="100" workbookViewId="0">
      <selection activeCell="B22" sqref="B22:H22"/>
    </sheetView>
  </sheetViews>
  <sheetFormatPr defaultColWidth="8.6328125" defaultRowHeight="14.5"/>
  <cols>
    <col min="1" max="1" width="4" customWidth="1"/>
    <col min="2" max="2" width="30" customWidth="1"/>
    <col min="3" max="3" width="18" customWidth="1"/>
    <col min="4" max="4" width="34.81640625" customWidth="1"/>
  </cols>
  <sheetData>
    <row r="1" spans="1:11" ht="31.5" customHeight="1">
      <c r="A1" s="106" t="s">
        <v>17</v>
      </c>
      <c r="B1" s="98"/>
      <c r="C1" s="98"/>
      <c r="D1" s="98"/>
      <c r="E1" s="98"/>
      <c r="F1" s="98"/>
      <c r="G1" s="98"/>
      <c r="H1" s="64"/>
      <c r="K1" s="49"/>
    </row>
    <row r="2" spans="1:11" ht="23" customHeight="1">
      <c r="A2" s="50" t="s">
        <v>173</v>
      </c>
      <c r="B2" s="51" t="s">
        <v>174</v>
      </c>
      <c r="C2" s="52"/>
      <c r="D2" s="52"/>
      <c r="E2" s="102"/>
      <c r="F2" s="100"/>
      <c r="G2" s="100"/>
      <c r="H2" s="76"/>
    </row>
    <row r="4" spans="1:11" ht="24" customHeight="1">
      <c r="B4" s="105" t="s">
        <v>175</v>
      </c>
      <c r="C4" s="98"/>
      <c r="D4" s="98"/>
      <c r="E4" s="104"/>
      <c r="F4" s="100"/>
      <c r="G4" s="100"/>
      <c r="H4" s="76"/>
    </row>
    <row r="5" spans="1:11" ht="24" customHeight="1">
      <c r="B5" s="53" t="s">
        <v>176</v>
      </c>
      <c r="C5" s="36">
        <f>②相談時家計表!$E$10</f>
        <v>37</v>
      </c>
      <c r="D5" s="37" t="s">
        <v>177</v>
      </c>
      <c r="E5" s="99"/>
      <c r="F5" s="100"/>
      <c r="G5" s="100"/>
      <c r="H5" s="76"/>
    </row>
    <row r="6" spans="1:11" ht="24" customHeight="1">
      <c r="B6" s="53" t="s">
        <v>178</v>
      </c>
      <c r="C6" s="36">
        <f>②相談時家計表!$E$29</f>
        <v>27</v>
      </c>
      <c r="D6" s="37" t="s">
        <v>179</v>
      </c>
      <c r="E6" s="99"/>
      <c r="F6" s="100"/>
      <c r="G6" s="100"/>
      <c r="H6" s="76"/>
    </row>
    <row r="7" spans="1:11" ht="24" customHeight="1">
      <c r="B7" s="53" t="s">
        <v>180</v>
      </c>
      <c r="C7" s="38">
        <f>②相談時家計表!$E$32</f>
        <v>10</v>
      </c>
      <c r="D7" s="37" t="s">
        <v>181</v>
      </c>
      <c r="E7" s="99"/>
      <c r="F7" s="100"/>
      <c r="G7" s="100"/>
      <c r="H7" s="76"/>
    </row>
    <row r="8" spans="1:11" ht="24" customHeight="1">
      <c r="B8" s="53" t="s">
        <v>182</v>
      </c>
      <c r="C8" s="39">
        <f>②相談時家計表!$E$33</f>
        <v>120</v>
      </c>
      <c r="D8" s="37" t="s">
        <v>183</v>
      </c>
      <c r="E8" s="99"/>
      <c r="F8" s="100"/>
      <c r="G8" s="100"/>
      <c r="H8" s="76"/>
    </row>
    <row r="9" spans="1:11" ht="24" customHeight="1">
      <c r="B9" s="54" t="s">
        <v>184</v>
      </c>
      <c r="C9" s="55">
        <f>②相談時家計表!$E$47</f>
        <v>-975</v>
      </c>
      <c r="D9" s="56" t="s">
        <v>185</v>
      </c>
      <c r="E9" s="99"/>
      <c r="F9" s="100"/>
      <c r="G9" s="100"/>
      <c r="H9" s="76"/>
    </row>
    <row r="11" spans="1:11" ht="24" customHeight="1">
      <c r="B11" s="105" t="s">
        <v>186</v>
      </c>
      <c r="C11" s="98"/>
      <c r="D11" s="98"/>
      <c r="E11" s="104"/>
      <c r="F11" s="100"/>
      <c r="G11" s="100"/>
      <c r="H11" s="76"/>
    </row>
    <row r="12" spans="1:11" ht="25.5" customHeight="1">
      <c r="B12" s="53" t="s">
        <v>187</v>
      </c>
      <c r="C12" s="41">
        <f>IFERROR(INDEX(④キャッシュフロー表!S8:S68,MATCH(①基本情報!$E$5,④キャッシュフロー表!C8:C68,0)),"")</f>
        <v>1884.0276415271821</v>
      </c>
      <c r="D12" s="37" t="s">
        <v>188</v>
      </c>
      <c r="E12" s="99"/>
      <c r="F12" s="100"/>
      <c r="G12" s="100"/>
      <c r="H12" s="76"/>
    </row>
    <row r="13" spans="1:11" ht="25.5" customHeight="1">
      <c r="B13" s="57" t="s">
        <v>189</v>
      </c>
      <c r="C13" s="40">
        <f>IFERROR(INDEX(④キャッシュフロー表!S8:S68,MATCH(80,④キャッシュフロー表!C8:C68,0)),"")</f>
        <v>1231.6356257482266</v>
      </c>
      <c r="D13" s="37" t="s">
        <v>190</v>
      </c>
      <c r="E13" s="99"/>
      <c r="F13" s="100"/>
      <c r="G13" s="100"/>
      <c r="H13" s="76"/>
    </row>
    <row r="14" spans="1:11" ht="25.5" customHeight="1">
      <c r="B14" s="57" t="s">
        <v>191</v>
      </c>
      <c r="C14" s="40">
        <f>IFERROR(INDEX(④キャッシュフロー表!S8:S68,MATCH(95,④キャッシュフロー表!C8:C68,0)),"")</f>
        <v>346.17833314382727</v>
      </c>
      <c r="D14" s="37" t="s">
        <v>192</v>
      </c>
      <c r="E14" s="99"/>
      <c r="F14" s="100"/>
      <c r="G14" s="100"/>
      <c r="H14" s="76"/>
    </row>
    <row r="15" spans="1:11" ht="25.5" customHeight="1">
      <c r="B15" s="53" t="s">
        <v>193</v>
      </c>
      <c r="C15" s="41">
        <f>SUM(④キャッシュフロー表!J8:J68)</f>
        <v>19450</v>
      </c>
      <c r="D15" s="37" t="s">
        <v>194</v>
      </c>
      <c r="E15" s="99"/>
      <c r="F15" s="100"/>
      <c r="G15" s="100"/>
      <c r="H15" s="76"/>
    </row>
    <row r="16" spans="1:11" ht="25.5" customHeight="1">
      <c r="B16" s="53" t="s">
        <v>195</v>
      </c>
      <c r="C16" s="41">
        <f>SUM(④キャッシュフロー表!Q8:Q68)</f>
        <v>19548.20000000003</v>
      </c>
      <c r="D16" s="37" t="s">
        <v>196</v>
      </c>
      <c r="E16" s="99"/>
      <c r="F16" s="100"/>
      <c r="G16" s="100"/>
      <c r="H16" s="76"/>
    </row>
    <row r="17" spans="2:8" ht="25.5" customHeight="1">
      <c r="B17" s="53" t="s">
        <v>197</v>
      </c>
      <c r="C17" s="40">
        <f>SUM(④キャッシュフロー表!J8:J68)-SUM(④キャッシュフロー表!Q8:Q68)</f>
        <v>-98.200000000029831</v>
      </c>
      <c r="D17" s="37" t="s">
        <v>198</v>
      </c>
      <c r="E17" s="99"/>
      <c r="F17" s="100"/>
      <c r="G17" s="100"/>
      <c r="H17" s="76"/>
    </row>
    <row r="18" spans="2:8" ht="25.5" customHeight="1">
      <c r="B18" s="54" t="s">
        <v>199</v>
      </c>
      <c r="C18" s="58" t="str">
        <f>IFERROR(INDEX(④キャッシュフロー表!C8:C68,MATCH(TRUE(),④キャッシュフロー表!S8:S68&lt;0,0)),"枯渇なし")</f>
        <v>枯渇なし</v>
      </c>
      <c r="D18" s="56" t="s">
        <v>200</v>
      </c>
      <c r="E18" s="99"/>
      <c r="F18" s="100"/>
      <c r="G18" s="100"/>
      <c r="H18" s="76"/>
    </row>
    <row r="20" spans="2:8" ht="24" customHeight="1">
      <c r="B20" s="101" t="s">
        <v>201</v>
      </c>
      <c r="C20" s="100"/>
      <c r="D20" s="100"/>
      <c r="E20" s="102"/>
      <c r="F20" s="100"/>
      <c r="G20" s="100"/>
      <c r="H20" s="76"/>
    </row>
    <row r="21" spans="2:8" ht="27.5" customHeight="1">
      <c r="B21" s="103" t="str">
        <f>IF(OR(C14="",C17=""),"未入力（①〜③シートに入力してください）",IF(C14&gt;=1000,"◎ 余裕あり：このプランで老後資金は十分です。",IF(C14&gt;=0,"○ ほぼ安心：余裕は少ないが、計画通りなら維持可能です。",IF(C17&gt;=0,"△ 要見直し：時期によって資金不足。支出見直しか収入増を検討。","× 要対策：生涯通算で資金不足。早期の対策が必要です。"))))</f>
        <v>○ ほぼ安心：余裕は少ないが、計画通りなら維持可能です。</v>
      </c>
      <c r="C21" s="61"/>
      <c r="D21" s="61"/>
      <c r="E21" s="97"/>
      <c r="F21" s="98"/>
      <c r="G21" s="98"/>
      <c r="H21" s="64"/>
    </row>
    <row r="22" spans="2:8" ht="153" customHeight="1">
      <c r="B22" s="107" t="s">
        <v>204</v>
      </c>
      <c r="C22" s="108"/>
      <c r="D22" s="108"/>
      <c r="E22" s="108"/>
      <c r="F22" s="108"/>
      <c r="G22" s="108"/>
      <c r="H22" s="109"/>
    </row>
  </sheetData>
  <mergeCells count="23">
    <mergeCell ref="E7:H7"/>
    <mergeCell ref="A1:H1"/>
    <mergeCell ref="E18:H18"/>
    <mergeCell ref="E12:H12"/>
    <mergeCell ref="E4:H4"/>
    <mergeCell ref="B4:D4"/>
    <mergeCell ref="E2:H2"/>
    <mergeCell ref="E21:H21"/>
    <mergeCell ref="E5:H5"/>
    <mergeCell ref="B20:D20"/>
    <mergeCell ref="E14:H14"/>
    <mergeCell ref="B22:H22"/>
    <mergeCell ref="E17:H17"/>
    <mergeCell ref="E8:H8"/>
    <mergeCell ref="E20:H20"/>
    <mergeCell ref="E13:H13"/>
    <mergeCell ref="E9:H9"/>
    <mergeCell ref="E6:H6"/>
    <mergeCell ref="E15:H15"/>
    <mergeCell ref="B21:D21"/>
    <mergeCell ref="E11:H11"/>
    <mergeCell ref="B11:D11"/>
    <mergeCell ref="E16:H16"/>
  </mergeCells>
  <phoneticPr fontId="26"/>
  <pageMargins left="0.75" right="0.75" top="1" bottom="1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表紙</vt:lpstr>
      <vt:lpstr>①基本情報</vt:lpstr>
      <vt:lpstr>②相談時家計表</vt:lpstr>
      <vt:lpstr>③ライフイベント表</vt:lpstr>
      <vt:lpstr>④キャッシュフロー表</vt:lpstr>
      <vt:lpstr>⑤資産推移グラフ</vt:lpstr>
      <vt:lpstr>④キャッシュフロー表!Print_Titles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秀樹 前田</cp:lastModifiedBy>
  <cp:revision>1</cp:revision>
  <dcterms:created xsi:type="dcterms:W3CDTF">2026-04-29T11:57:30Z</dcterms:created>
  <dcterms:modified xsi:type="dcterms:W3CDTF">2026-06-07T01:41:44Z</dcterms:modified>
  <dc:language>en-US</dc:language>
</cp:coreProperties>
</file>